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4.xml" ContentType="application/vnd.openxmlformats-officedocument.spreadsheetml.comments+xml"/>
  <Override PartName="/xl/drawings/drawing3.xml" ContentType="application/vnd.openxmlformats-officedocument.drawing+xml"/>
  <Override PartName="/xl/charts/chart5.xml" ContentType="application/vnd.openxmlformats-officedocument.drawingml.chart+xml"/>
  <Override PartName="/xl/comments5.xml" ContentType="application/vnd.openxmlformats-officedocument.spreadsheetml.comments+xml"/>
  <Override PartName="/xl/drawings/drawing4.xml" ContentType="application/vnd.openxmlformats-officedocument.drawing+xml"/>
  <Override PartName="/xl/charts/chart6.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hreadedComments/threadedComment1.xml" ContentType="application/vnd.ms-excel.threadedcomments+xml"/>
  <Override PartName="/xl/comments10.xml" ContentType="application/vnd.openxmlformats-officedocument.spreadsheetml.comments+xml"/>
  <Override PartName="/xl/comments11.xml" ContentType="application/vnd.openxmlformats-officedocument.spreadsheetml.comments+xml"/>
  <Override PartName="/xl/threadedComments/threadedComment2.xml" ContentType="application/vnd.ms-excel.threaded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Finance\Maureen\Finance Committee\"/>
    </mc:Choice>
  </mc:AlternateContent>
  <xr:revisionPtr revIDLastSave="0" documentId="13_ncr:1_{203125B3-D850-444A-9238-95FAFD36ACD9}" xr6:coauthVersionLast="47" xr6:coauthVersionMax="47" xr10:uidLastSave="{00000000-0000-0000-0000-000000000000}"/>
  <bookViews>
    <workbookView xWindow="-38520" yWindow="-120" windowWidth="37710" windowHeight="16440" tabRatio="787" firstSheet="4" activeTab="14" xr2:uid="{00000000-000D-0000-FFFF-FFFF00000000}"/>
  </bookViews>
  <sheets>
    <sheet name="Updated  Operating Budget" sheetId="26" state="hidden" r:id="rId1"/>
    <sheet name="2023 Operating Budget" sheetId="27" state="hidden" r:id="rId2"/>
    <sheet name="Transportation Historic" sheetId="28" state="hidden" r:id="rId3"/>
    <sheet name="2024 Operating Budget" sheetId="32" state="hidden" r:id="rId4"/>
    <sheet name="Notes" sheetId="15" r:id="rId5"/>
    <sheet name="Sheet1" sheetId="37" state="hidden" r:id="rId6"/>
    <sheet name="Data" sheetId="19" state="hidden" r:id="rId7"/>
    <sheet name="Updated Operating Budget" sheetId="25" state="hidden" r:id="rId8"/>
    <sheet name="August'25 AR Aging" sheetId="34" r:id="rId9"/>
    <sheet name="August'25 Revenues &amp; Expenses" sheetId="3" r:id="rId10"/>
    <sheet name="December'24 AR Aging " sheetId="6" state="hidden" r:id="rId11"/>
    <sheet name="August'25 Financial Position" sheetId="5" r:id="rId12"/>
    <sheet name="August'25 State of Activities" sheetId="12" r:id="rId13"/>
    <sheet name="FundRaising" sheetId="31" state="hidden" r:id="rId14"/>
    <sheet name="August'25 Transportation" sheetId="24" r:id="rId15"/>
    <sheet name="Budget vs Actual 2024" sheetId="36" state="hidden" r:id="rId16"/>
    <sheet name="2025 Transportation Budget" sheetId="33" state="hidden" r:id="rId17"/>
    <sheet name="2023 Updated Budget Transportat" sheetId="30" state="hidden" r:id="rId18"/>
    <sheet name="Historic Transportation 5 Years" sheetId="29" state="hidden" r:id="rId19"/>
    <sheet name="June'20 Transportation" sheetId="18" state="hidden" r:id="rId20"/>
    <sheet name="Transportation Projections" sheetId="23" state="hidden" r:id="rId21"/>
    <sheet name="2019 Budget" sheetId="22" state="hidden" r:id="rId22"/>
    <sheet name="2017 Medicaid Revenue" sheetId="21" state="hidden" r:id="rId23"/>
    <sheet name="Budget" sheetId="20" state="hidden" r:id="rId24"/>
    <sheet name="YE Historic Data" sheetId="17" state="hidden" r:id="rId25"/>
  </sheets>
  <externalReferences>
    <externalReference r:id="rId26"/>
    <externalReference r:id="rId27"/>
    <externalReference r:id="rId28"/>
    <externalReference r:id="rId29"/>
  </externalReferences>
  <definedNames>
    <definedName name="_xlnm.Print_Area" localSheetId="22">'2017 Medicaid Revenue'!$A$1:$H$69</definedName>
    <definedName name="_xlnm.Print_Area" localSheetId="16">'2025 Transportation Budget'!$A$1:$P$72</definedName>
    <definedName name="_xlnm.Print_Area" localSheetId="11">'August''25 Financial Position'!$B$1:$M$70</definedName>
    <definedName name="_xlnm.Print_Area" localSheetId="9">'August''25 Revenues &amp; Expenses'!$B$1:$M$67</definedName>
    <definedName name="_xlnm.Print_Area" localSheetId="12">'August''25 State of Activities'!$B$1:$P$72</definedName>
    <definedName name="_xlnm.Print_Area" localSheetId="14">'August''25 Transportation'!$B$1:$Q$72</definedName>
    <definedName name="_xlnm.Print_Area" localSheetId="23">Budget!$A$1:$G$54</definedName>
    <definedName name="_xlnm.Print_Area" localSheetId="15">'Budget vs Actual 2024'!$B$1:$R$57</definedName>
    <definedName name="_xlnm.Print_Area" localSheetId="10">'December''24 AR Aging '!$B$1:$H$156</definedName>
    <definedName name="_xlnm.Print_Area" localSheetId="19">'June''20 Transportation'!$A$1:$P$63</definedName>
    <definedName name="_xlnm.Print_Area" localSheetId="4">Notes!$B$1:$I$112</definedName>
    <definedName name="_xlnm.Print_Area" localSheetId="20">'Transportation Projections'!$A$1:$P$53</definedName>
    <definedName name="_xlnm.Print_Area" localSheetId="24">'YE Historic Data'!$A$1:$W$41</definedName>
    <definedName name="_xlnm.Print_Titles" localSheetId="4">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86" i="37" l="1"/>
  <c r="D2985" i="37"/>
  <c r="D2984" i="37"/>
  <c r="D2983" i="37"/>
  <c r="D2982" i="37"/>
  <c r="D2981" i="37"/>
  <c r="D2980" i="37"/>
  <c r="D2979" i="37"/>
  <c r="D2978" i="37"/>
  <c r="D2977" i="37"/>
  <c r="D2976" i="37"/>
  <c r="D2975" i="37"/>
  <c r="D2974" i="37"/>
  <c r="D2973" i="37"/>
  <c r="D2972" i="37"/>
  <c r="D2971" i="37"/>
  <c r="D2970" i="37"/>
  <c r="D2969" i="37"/>
  <c r="D2968" i="37"/>
  <c r="D2967" i="37"/>
  <c r="D2966" i="37"/>
  <c r="D2965" i="37"/>
  <c r="D2964" i="37"/>
  <c r="D2963" i="37"/>
  <c r="D2962" i="37"/>
  <c r="D2961" i="37"/>
  <c r="D2960" i="37"/>
  <c r="D2959" i="37"/>
  <c r="D2958" i="37"/>
  <c r="D2957" i="37"/>
  <c r="D2956" i="37"/>
  <c r="D2955" i="37"/>
  <c r="D2954" i="37"/>
  <c r="D2953" i="37"/>
  <c r="D2952" i="37"/>
  <c r="D2951" i="37"/>
  <c r="D2950" i="37"/>
  <c r="D2949" i="37"/>
  <c r="D2948" i="37"/>
  <c r="D2947" i="37"/>
  <c r="D2946" i="37"/>
  <c r="D2945" i="37"/>
  <c r="D2944" i="37"/>
  <c r="D2943" i="37"/>
  <c r="D2942" i="37"/>
  <c r="D2941" i="37"/>
  <c r="D2940" i="37"/>
  <c r="D2939" i="37"/>
  <c r="D2938" i="37"/>
  <c r="D2937" i="37"/>
  <c r="D2936" i="37"/>
  <c r="D2935" i="37"/>
  <c r="D2934" i="37"/>
  <c r="D2933" i="37"/>
  <c r="D2932" i="37"/>
  <c r="D2931" i="37"/>
  <c r="D2930" i="37"/>
  <c r="D2929" i="37"/>
  <c r="D2928" i="37"/>
  <c r="D2927" i="37"/>
  <c r="D2926" i="37"/>
  <c r="D2925" i="37"/>
  <c r="D2924" i="37"/>
  <c r="D2923" i="37"/>
  <c r="D2922" i="37"/>
  <c r="D2921" i="37"/>
  <c r="D2920" i="37"/>
  <c r="D2919" i="37"/>
  <c r="D2918" i="37"/>
  <c r="D2917" i="37"/>
  <c r="D2916" i="37"/>
  <c r="D2915" i="37"/>
  <c r="D2914" i="37"/>
  <c r="D2913" i="37"/>
  <c r="D2912" i="37"/>
  <c r="D2911" i="37"/>
  <c r="D2910" i="37"/>
  <c r="D2909" i="37"/>
  <c r="D2908" i="37"/>
  <c r="D2907" i="37"/>
  <c r="D2906" i="37"/>
  <c r="D2905" i="37"/>
  <c r="D2904" i="37"/>
  <c r="D2903" i="37"/>
  <c r="D2902" i="37"/>
  <c r="D2901" i="37"/>
  <c r="D2900" i="37"/>
  <c r="D2899" i="37"/>
  <c r="D2898" i="37"/>
  <c r="D2897" i="37"/>
  <c r="D2896" i="37"/>
  <c r="D2895" i="37"/>
  <c r="D2894" i="37"/>
  <c r="D2893" i="37"/>
  <c r="D2892" i="37"/>
  <c r="D2891" i="37"/>
  <c r="D2890" i="37"/>
  <c r="D2889" i="37"/>
  <c r="D2888" i="37"/>
  <c r="D2887" i="37"/>
  <c r="D2886" i="37"/>
  <c r="D2885" i="37"/>
  <c r="D2884" i="37"/>
  <c r="D2883" i="37"/>
  <c r="D2882" i="37"/>
  <c r="D2881" i="37"/>
  <c r="D2880" i="37"/>
  <c r="D2879" i="37"/>
  <c r="D2878" i="37"/>
  <c r="D2877" i="37"/>
  <c r="D2876" i="37"/>
  <c r="D2875" i="37"/>
  <c r="D2874" i="37"/>
  <c r="D2873" i="37"/>
  <c r="D2872" i="37"/>
  <c r="D2871" i="37"/>
  <c r="D2870" i="37"/>
  <c r="D2869" i="37"/>
  <c r="D2868" i="37"/>
  <c r="D2867" i="37"/>
  <c r="D2866" i="37"/>
  <c r="D2865" i="37"/>
  <c r="D2864" i="37"/>
  <c r="D2863" i="37"/>
  <c r="D2862" i="37"/>
  <c r="D2861" i="37"/>
  <c r="D2860" i="37"/>
  <c r="D2859" i="37"/>
  <c r="D2858" i="37"/>
  <c r="D2857" i="37"/>
  <c r="D2856" i="37"/>
  <c r="D2855" i="37"/>
  <c r="D2854" i="37"/>
  <c r="D2853" i="37"/>
  <c r="D2852" i="37"/>
  <c r="D2851" i="37"/>
  <c r="D2850" i="37"/>
  <c r="D2849" i="37"/>
  <c r="D2848" i="37"/>
  <c r="D2847" i="37"/>
  <c r="D2846" i="37"/>
  <c r="D2845" i="37"/>
  <c r="D2844" i="37"/>
  <c r="D2843" i="37"/>
  <c r="D2842" i="37"/>
  <c r="D2841" i="37"/>
  <c r="D2840" i="37"/>
  <c r="D2839" i="37"/>
  <c r="D2838" i="37"/>
  <c r="D2837" i="37"/>
  <c r="D2836" i="37"/>
  <c r="D2835" i="37"/>
  <c r="D2834" i="37"/>
  <c r="D2833" i="37"/>
  <c r="D2832" i="37"/>
  <c r="D2831" i="37"/>
  <c r="D2830" i="37"/>
  <c r="D2829" i="37"/>
  <c r="D2828" i="37"/>
  <c r="D2827" i="37"/>
  <c r="D2826" i="37"/>
  <c r="D2825" i="37"/>
  <c r="D2824" i="37"/>
  <c r="D2823" i="37"/>
  <c r="D2822" i="37"/>
  <c r="D2821" i="37"/>
  <c r="D2820" i="37"/>
  <c r="D2819" i="37"/>
  <c r="D2818" i="37"/>
  <c r="D2817" i="37"/>
  <c r="D2816" i="37"/>
  <c r="D2815" i="37"/>
  <c r="D2814" i="37"/>
  <c r="D2813" i="37"/>
  <c r="D2812" i="37"/>
  <c r="D2811" i="37"/>
  <c r="D2810" i="37"/>
  <c r="D2809" i="37"/>
  <c r="D2808" i="37"/>
  <c r="D2807" i="37"/>
  <c r="D2806" i="37"/>
  <c r="D2805" i="37"/>
  <c r="D2804" i="37"/>
  <c r="D2803" i="37"/>
  <c r="D2802" i="37"/>
  <c r="D2801" i="37"/>
  <c r="D2800" i="37"/>
  <c r="D2799" i="37"/>
  <c r="D2798" i="37"/>
  <c r="D2797" i="37"/>
  <c r="D2796" i="37"/>
  <c r="D2795" i="37"/>
  <c r="D2794" i="37"/>
  <c r="D2793" i="37"/>
  <c r="D2792" i="37"/>
  <c r="D2791" i="37"/>
  <c r="D2790" i="37"/>
  <c r="D2789" i="37"/>
  <c r="D2788" i="37"/>
  <c r="D2787" i="37"/>
  <c r="D2786" i="37"/>
  <c r="D2785" i="37"/>
  <c r="D2784" i="37"/>
  <c r="D2783" i="37"/>
  <c r="D2782" i="37"/>
  <c r="D2781" i="37"/>
  <c r="D2780" i="37"/>
  <c r="D2779" i="37"/>
  <c r="D2778" i="37"/>
  <c r="D2777" i="37"/>
  <c r="D2776" i="37"/>
  <c r="D2775" i="37"/>
  <c r="D2774" i="37"/>
  <c r="D2773" i="37"/>
  <c r="D2772" i="37"/>
  <c r="D2771" i="37"/>
  <c r="D2770" i="37"/>
  <c r="D2769" i="37"/>
  <c r="D2768" i="37"/>
  <c r="D2767" i="37"/>
  <c r="D2766" i="37"/>
  <c r="D2765" i="37"/>
  <c r="D2764" i="37"/>
  <c r="D2763" i="37"/>
  <c r="D2762" i="37"/>
  <c r="D2761" i="37"/>
  <c r="D2760" i="37"/>
  <c r="D2759" i="37"/>
  <c r="D2758" i="37"/>
  <c r="D2757" i="37"/>
  <c r="D2756" i="37"/>
  <c r="D2755" i="37"/>
  <c r="D2754" i="37"/>
  <c r="D2753" i="37"/>
  <c r="D2752" i="37"/>
  <c r="D2751" i="37"/>
  <c r="D2750" i="37"/>
  <c r="D2749" i="37"/>
  <c r="D2748" i="37"/>
  <c r="D2747" i="37"/>
  <c r="D2746" i="37"/>
  <c r="D2745" i="37"/>
  <c r="D2744" i="37"/>
  <c r="D2743" i="37"/>
  <c r="D2742" i="37"/>
  <c r="D2741" i="37"/>
  <c r="D2740" i="37"/>
  <c r="D2739" i="37"/>
  <c r="D2738" i="37"/>
  <c r="D2737" i="37"/>
  <c r="D2736" i="37"/>
  <c r="D2735" i="37"/>
  <c r="D2734" i="37"/>
  <c r="D2733" i="37"/>
  <c r="D2732" i="37"/>
  <c r="D2731" i="37"/>
  <c r="D2730" i="37"/>
  <c r="D2729" i="37"/>
  <c r="D2728" i="37"/>
  <c r="D2727" i="37"/>
  <c r="D2726" i="37"/>
  <c r="D2725" i="37"/>
  <c r="D2724" i="37"/>
  <c r="D2723" i="37"/>
  <c r="D2722" i="37"/>
  <c r="D2721" i="37"/>
  <c r="D2720" i="37"/>
  <c r="D2719" i="37"/>
  <c r="D2718" i="37"/>
  <c r="D2717" i="37"/>
  <c r="D2716" i="37"/>
  <c r="D2715" i="37"/>
  <c r="D2714" i="37"/>
  <c r="D2713" i="37"/>
  <c r="D2712" i="37"/>
  <c r="D2711" i="37"/>
  <c r="D2710" i="37"/>
  <c r="D2709" i="37"/>
  <c r="D2708" i="37"/>
  <c r="D2707" i="37"/>
  <c r="D2706" i="37"/>
  <c r="D2705" i="37"/>
  <c r="D2704" i="37"/>
  <c r="D2703" i="37"/>
  <c r="D2702" i="37"/>
  <c r="D2701" i="37"/>
  <c r="D2700" i="37"/>
  <c r="D2699" i="37"/>
  <c r="D2698" i="37"/>
  <c r="D2697" i="37"/>
  <c r="D2696" i="37"/>
  <c r="D2695" i="37"/>
  <c r="D2694" i="37"/>
  <c r="D2693" i="37"/>
  <c r="D2692" i="37"/>
  <c r="D2691" i="37"/>
  <c r="D2690" i="37"/>
  <c r="D2689" i="37"/>
  <c r="D2688" i="37"/>
  <c r="D2687" i="37"/>
  <c r="D2686" i="37"/>
  <c r="D2685" i="37"/>
  <c r="D2684" i="37"/>
  <c r="D2683" i="37"/>
  <c r="D2682" i="37"/>
  <c r="D2681" i="37"/>
  <c r="D2680" i="37"/>
  <c r="D2679" i="37"/>
  <c r="D2678" i="37"/>
  <c r="D2677" i="37"/>
  <c r="D2676" i="37"/>
  <c r="D2675" i="37"/>
  <c r="D2674" i="37"/>
  <c r="D2673" i="37"/>
  <c r="D2672" i="37"/>
  <c r="D2671" i="37"/>
  <c r="D2670" i="37"/>
  <c r="D2669" i="37"/>
  <c r="D2668" i="37"/>
  <c r="D2667" i="37"/>
  <c r="D2666" i="37"/>
  <c r="D2665" i="37"/>
  <c r="D2664" i="37"/>
  <c r="D2663" i="37"/>
  <c r="D2662" i="37"/>
  <c r="D2661" i="37"/>
  <c r="D2660" i="37"/>
  <c r="D2659" i="37"/>
  <c r="D2658" i="37"/>
  <c r="D2657" i="37"/>
  <c r="D2656" i="37"/>
  <c r="D2655" i="37"/>
  <c r="D2654" i="37"/>
  <c r="D2653" i="37"/>
  <c r="D2652" i="37"/>
  <c r="D2651" i="37"/>
  <c r="D2650" i="37"/>
  <c r="D2649" i="37"/>
  <c r="D2648" i="37"/>
  <c r="D2647" i="37"/>
  <c r="D2646" i="37"/>
  <c r="D2645" i="37"/>
  <c r="D2644" i="37"/>
  <c r="D2643" i="37"/>
  <c r="D2642" i="37"/>
  <c r="D2641" i="37"/>
  <c r="D2640" i="37"/>
  <c r="D2639" i="37"/>
  <c r="D2638" i="37"/>
  <c r="D2637" i="37"/>
  <c r="D2636" i="37"/>
  <c r="D2635" i="37"/>
  <c r="D2634" i="37"/>
  <c r="D2633" i="37"/>
  <c r="D2632" i="37"/>
  <c r="D2631" i="37"/>
  <c r="D2630" i="37"/>
  <c r="D2629" i="37"/>
  <c r="D2628" i="37"/>
  <c r="D2627" i="37"/>
  <c r="D2626" i="37"/>
  <c r="D2625" i="37"/>
  <c r="D2624" i="37"/>
  <c r="D2623" i="37"/>
  <c r="D2622" i="37"/>
  <c r="D2621" i="37"/>
  <c r="D2620" i="37"/>
  <c r="D2619" i="37"/>
  <c r="D2618" i="37"/>
  <c r="D2617" i="37"/>
  <c r="D2616" i="37"/>
  <c r="D2615" i="37"/>
  <c r="D2614" i="37"/>
  <c r="D2613" i="37"/>
  <c r="D2612" i="37"/>
  <c r="D2611" i="37"/>
  <c r="D2610" i="37"/>
  <c r="D2609" i="37"/>
  <c r="D2608" i="37"/>
  <c r="D2607" i="37"/>
  <c r="D2606" i="37"/>
  <c r="D2605" i="37"/>
  <c r="D2604" i="37"/>
  <c r="D2603" i="37"/>
  <c r="D2602" i="37"/>
  <c r="D2601" i="37"/>
  <c r="D2600" i="37"/>
  <c r="D2599" i="37"/>
  <c r="D2598" i="37"/>
  <c r="D2597" i="37"/>
  <c r="D2596" i="37"/>
  <c r="D2595" i="37"/>
  <c r="D2594" i="37"/>
  <c r="D2593" i="37"/>
  <c r="D2592" i="37"/>
  <c r="D2591" i="37"/>
  <c r="D2590" i="37"/>
  <c r="D2589" i="37"/>
  <c r="D2588" i="37"/>
  <c r="D2587" i="37"/>
  <c r="D2586" i="37"/>
  <c r="D2585" i="37"/>
  <c r="D2584" i="37"/>
  <c r="D2583" i="37"/>
  <c r="D2582" i="37"/>
  <c r="D2581" i="37"/>
  <c r="D2580" i="37"/>
  <c r="D2579" i="37"/>
  <c r="D2578" i="37"/>
  <c r="D2577" i="37"/>
  <c r="D2576" i="37"/>
  <c r="D2575" i="37"/>
  <c r="D2574" i="37"/>
  <c r="D2573" i="37"/>
  <c r="D2572" i="37"/>
  <c r="D2571" i="37"/>
  <c r="D2570" i="37"/>
  <c r="D2569" i="37"/>
  <c r="D2568" i="37"/>
  <c r="D2567" i="37"/>
  <c r="D2566" i="37"/>
  <c r="D2565" i="37"/>
  <c r="D2564" i="37"/>
  <c r="D2563" i="37"/>
  <c r="D2562" i="37"/>
  <c r="D2561" i="37"/>
  <c r="D2560" i="37"/>
  <c r="D2559" i="37"/>
  <c r="D2558" i="37"/>
  <c r="D2557" i="37"/>
  <c r="D2556" i="37"/>
  <c r="D2555" i="37"/>
  <c r="D2554" i="37"/>
  <c r="D2553" i="37"/>
  <c r="D2552" i="37"/>
  <c r="D2551" i="37"/>
  <c r="D2550" i="37"/>
  <c r="D2549" i="37"/>
  <c r="D2548" i="37"/>
  <c r="D2547" i="37"/>
  <c r="D2546" i="37"/>
  <c r="D2545" i="37"/>
  <c r="D2544" i="37"/>
  <c r="D2543" i="37"/>
  <c r="D2542" i="37"/>
  <c r="D2541" i="37"/>
  <c r="D2540" i="37"/>
  <c r="D2539" i="37"/>
  <c r="D2538" i="37"/>
  <c r="D2537" i="37"/>
  <c r="D2536" i="37"/>
  <c r="D2535" i="37"/>
  <c r="D2534" i="37"/>
  <c r="D2533" i="37"/>
  <c r="D2532" i="37"/>
  <c r="D2531" i="37"/>
  <c r="D2530" i="37"/>
  <c r="D2529" i="37"/>
  <c r="D2528" i="37"/>
  <c r="D2527" i="37"/>
  <c r="D2526" i="37"/>
  <c r="D2525" i="37"/>
  <c r="D2524" i="37"/>
  <c r="D2523" i="37"/>
  <c r="D2522" i="37"/>
  <c r="D2521" i="37"/>
  <c r="D2520" i="37"/>
  <c r="D2519" i="37"/>
  <c r="D2518" i="37"/>
  <c r="D2517" i="37"/>
  <c r="D2516" i="37"/>
  <c r="D2515" i="37"/>
  <c r="D2514" i="37"/>
  <c r="D2513" i="37"/>
  <c r="D2512" i="37"/>
  <c r="D2511" i="37"/>
  <c r="D2510" i="37"/>
  <c r="D2509" i="37"/>
  <c r="D2508" i="37"/>
  <c r="D2507" i="37"/>
  <c r="D2506" i="37"/>
  <c r="D2505" i="37"/>
  <c r="D2504" i="37"/>
  <c r="D2503" i="37"/>
  <c r="D2502" i="37"/>
  <c r="D2501" i="37"/>
  <c r="D2500" i="37"/>
  <c r="D2499" i="37"/>
  <c r="D2498" i="37"/>
  <c r="D2497" i="37"/>
  <c r="D2496" i="37"/>
  <c r="D2495" i="37"/>
  <c r="D2494" i="37"/>
  <c r="D2493" i="37"/>
  <c r="D2492" i="37"/>
  <c r="D2491" i="37"/>
  <c r="D2490" i="37"/>
  <c r="D2489" i="37"/>
  <c r="D2488" i="37"/>
  <c r="D2487" i="37"/>
  <c r="D2486" i="37"/>
  <c r="D2485" i="37"/>
  <c r="D2484" i="37"/>
  <c r="D2483" i="37"/>
  <c r="D2482" i="37"/>
  <c r="D2481" i="37"/>
  <c r="D2480" i="37"/>
  <c r="D2479" i="37"/>
  <c r="D2478" i="37"/>
  <c r="D2477" i="37"/>
  <c r="D2476" i="37"/>
  <c r="D2475" i="37"/>
  <c r="D2474" i="37"/>
  <c r="D2473" i="37"/>
  <c r="D2472" i="37"/>
  <c r="D2471" i="37"/>
  <c r="D2470" i="37"/>
  <c r="D2469" i="37"/>
  <c r="D2468" i="37"/>
  <c r="D2467" i="37"/>
  <c r="D2466" i="37"/>
  <c r="D2465" i="37"/>
  <c r="D2464" i="37"/>
  <c r="D2463" i="37"/>
  <c r="D2462" i="37"/>
  <c r="D2461" i="37"/>
  <c r="D2460" i="37"/>
  <c r="D2459" i="37"/>
  <c r="D2458" i="37"/>
  <c r="D2457" i="37"/>
  <c r="D2456" i="37"/>
  <c r="D2455" i="37"/>
  <c r="D2454" i="37"/>
  <c r="D2453" i="37"/>
  <c r="D2452" i="37"/>
  <c r="D2451" i="37"/>
  <c r="D2450" i="37"/>
  <c r="D2449" i="37"/>
  <c r="D2448" i="37"/>
  <c r="D2447" i="37"/>
  <c r="D2446" i="37"/>
  <c r="D2445" i="37"/>
  <c r="D2444" i="37"/>
  <c r="D2443" i="37"/>
  <c r="D2442" i="37"/>
  <c r="D2441" i="37"/>
  <c r="D2440" i="37"/>
  <c r="D2439" i="37"/>
  <c r="D2438" i="37"/>
  <c r="D2437" i="37"/>
  <c r="D2436" i="37"/>
  <c r="D2435" i="37"/>
  <c r="D2434" i="37"/>
  <c r="D2433" i="37"/>
  <c r="D2432" i="37"/>
  <c r="D2431" i="37"/>
  <c r="D2430" i="37"/>
  <c r="D2429" i="37"/>
  <c r="D2428" i="37"/>
  <c r="D2427" i="37"/>
  <c r="D2426" i="37"/>
  <c r="D2425" i="37"/>
  <c r="D2424" i="37"/>
  <c r="D2423" i="37"/>
  <c r="D2422" i="37"/>
  <c r="D2421" i="37"/>
  <c r="D2420" i="37"/>
  <c r="D2419" i="37"/>
  <c r="D2418" i="37"/>
  <c r="D2417" i="37"/>
  <c r="D2416" i="37"/>
  <c r="D2415" i="37"/>
  <c r="D2414" i="37"/>
  <c r="D2413" i="37"/>
  <c r="D2412" i="37"/>
  <c r="D2411" i="37"/>
  <c r="D2410" i="37"/>
  <c r="D2409" i="37"/>
  <c r="D2408" i="37"/>
  <c r="D2407" i="37"/>
  <c r="D2406" i="37"/>
  <c r="D2405" i="37"/>
  <c r="D2404" i="37"/>
  <c r="D2403" i="37"/>
  <c r="D2402" i="37"/>
  <c r="D2401" i="37"/>
  <c r="D2400" i="37"/>
  <c r="D2399" i="37"/>
  <c r="D2398" i="37"/>
  <c r="D2397" i="37"/>
  <c r="D2396" i="37"/>
  <c r="D2395" i="37"/>
  <c r="D2394" i="37"/>
  <c r="D2393" i="37"/>
  <c r="D2392" i="37"/>
  <c r="D2391" i="37"/>
  <c r="D2390" i="37"/>
  <c r="D2389" i="37"/>
  <c r="D2388" i="37"/>
  <c r="D2387" i="37"/>
  <c r="D2386" i="37"/>
  <c r="D2385" i="37"/>
  <c r="D2384" i="37"/>
  <c r="D2383" i="37"/>
  <c r="D2382" i="37"/>
  <c r="D2381" i="37"/>
  <c r="D2380" i="37"/>
  <c r="D2379" i="37"/>
  <c r="D2378" i="37"/>
  <c r="D2377" i="37"/>
  <c r="D2376" i="37"/>
  <c r="D2375" i="37"/>
  <c r="D2374" i="37"/>
  <c r="D2373" i="37"/>
  <c r="D2372" i="37"/>
  <c r="D2371" i="37"/>
  <c r="D2370" i="37"/>
  <c r="D2369" i="37"/>
  <c r="D2368" i="37"/>
  <c r="D2367" i="37"/>
  <c r="D2366" i="37"/>
  <c r="D2365" i="37"/>
  <c r="D2364" i="37"/>
  <c r="D2363" i="37"/>
  <c r="D2362" i="37"/>
  <c r="D2361" i="37"/>
  <c r="D2360" i="37"/>
  <c r="D2359" i="37"/>
  <c r="D2358" i="37"/>
  <c r="D2357" i="37"/>
  <c r="D2356" i="37"/>
  <c r="D2355" i="37"/>
  <c r="D2354" i="37"/>
  <c r="D2353" i="37"/>
  <c r="D2352" i="37"/>
  <c r="D2351" i="37"/>
  <c r="D2350" i="37"/>
  <c r="D2349" i="37"/>
  <c r="D2348" i="37"/>
  <c r="D2347" i="37"/>
  <c r="D2346" i="37"/>
  <c r="D2345" i="37"/>
  <c r="D2344" i="37"/>
  <c r="D2343" i="37"/>
  <c r="D2342" i="37"/>
  <c r="D2341" i="37"/>
  <c r="D2340" i="37"/>
  <c r="D2339" i="37"/>
  <c r="D2338" i="37"/>
  <c r="D2337" i="37"/>
  <c r="D2336" i="37"/>
  <c r="D2335" i="37"/>
  <c r="D2334" i="37"/>
  <c r="D2333" i="37"/>
  <c r="D2332" i="37"/>
  <c r="D2331" i="37"/>
  <c r="D2330" i="37"/>
  <c r="D2329" i="37"/>
  <c r="D2328" i="37"/>
  <c r="D2327" i="37"/>
  <c r="D2326" i="37"/>
  <c r="D2325" i="37"/>
  <c r="C2325" i="37"/>
  <c r="D2324" i="37"/>
  <c r="C2324" i="37"/>
  <c r="D2323" i="37"/>
  <c r="D2322" i="37"/>
  <c r="D2321" i="37"/>
  <c r="D2320" i="37"/>
  <c r="D2319" i="37"/>
  <c r="D2318" i="37"/>
  <c r="D2317" i="37"/>
  <c r="E2316" i="37"/>
  <c r="D2316" i="37"/>
  <c r="E2315" i="37"/>
  <c r="D2315" i="37"/>
  <c r="E2314" i="37"/>
  <c r="D2314" i="37"/>
  <c r="E2313" i="37"/>
  <c r="D2313" i="37" s="1"/>
  <c r="E2312" i="37"/>
  <c r="D2312" i="37"/>
  <c r="E2311" i="37"/>
  <c r="D2311" i="37"/>
  <c r="E2310" i="37"/>
  <c r="D2310" i="37"/>
  <c r="E2309" i="37"/>
  <c r="D2309" i="37" s="1"/>
  <c r="E2308" i="37"/>
  <c r="D2308" i="37"/>
  <c r="E2307" i="37"/>
  <c r="D2307" i="37"/>
  <c r="E2306" i="37"/>
  <c r="D2306" i="37"/>
  <c r="E2305" i="37"/>
  <c r="D2305" i="37" s="1"/>
  <c r="E2304" i="37"/>
  <c r="D2304" i="37"/>
  <c r="E2303" i="37"/>
  <c r="D2303" i="37"/>
  <c r="E2302" i="37"/>
  <c r="D2302" i="37"/>
  <c r="E2301" i="37"/>
  <c r="D2301" i="37" s="1"/>
  <c r="E2300" i="37"/>
  <c r="D2300" i="37"/>
  <c r="D2299" i="37"/>
  <c r="D2298" i="37"/>
  <c r="D2297" i="37"/>
  <c r="D2296" i="37"/>
  <c r="D2295" i="37"/>
  <c r="D2294" i="37"/>
  <c r="D2293" i="37"/>
  <c r="D2292" i="37"/>
  <c r="G2286" i="37"/>
  <c r="G2287" i="37" s="1"/>
  <c r="D2286" i="37"/>
  <c r="D2285" i="37"/>
  <c r="D2284" i="37"/>
  <c r="D2283" i="37"/>
  <c r="D2282" i="37"/>
  <c r="D2281" i="37"/>
  <c r="E2280" i="37"/>
  <c r="D2280" i="37" s="1"/>
  <c r="D2279" i="37"/>
  <c r="D2278" i="37"/>
  <c r="E2276" i="37"/>
  <c r="D2276" i="37" s="1"/>
  <c r="D2275" i="37"/>
  <c r="D2274" i="37"/>
  <c r="D2273" i="37"/>
  <c r="D2272" i="37"/>
  <c r="D2271" i="37"/>
  <c r="D2270" i="37"/>
  <c r="D2269" i="37"/>
  <c r="E2268" i="37"/>
  <c r="D2268" i="37"/>
  <c r="D2267" i="37"/>
  <c r="D2266" i="37"/>
  <c r="E2265" i="37"/>
  <c r="D2265" i="37" s="1"/>
  <c r="D2264" i="37"/>
  <c r="E2263" i="37"/>
  <c r="D2263" i="37" s="1"/>
  <c r="D2262" i="37"/>
  <c r="D2261" i="37"/>
  <c r="D2260" i="37"/>
  <c r="D2259" i="37"/>
  <c r="D2258" i="37"/>
  <c r="D2257" i="37"/>
  <c r="D2256" i="37"/>
  <c r="D2255" i="37"/>
  <c r="D2254" i="37"/>
  <c r="D2253" i="37"/>
  <c r="D2252" i="37"/>
  <c r="D2251" i="37"/>
  <c r="D2250" i="37"/>
  <c r="D2249" i="37"/>
  <c r="D2248" i="37"/>
  <c r="D2247" i="37"/>
  <c r="D2246" i="37"/>
  <c r="D2245" i="37"/>
  <c r="D2244" i="37"/>
  <c r="D2243" i="37"/>
  <c r="E2242" i="37"/>
  <c r="D2242" i="37" s="1"/>
  <c r="D2241" i="37"/>
  <c r="E2240" i="37"/>
  <c r="D2240" i="37"/>
  <c r="D2239" i="37"/>
  <c r="E2238" i="37"/>
  <c r="D2238" i="37"/>
  <c r="D2237" i="37"/>
  <c r="D2236" i="37"/>
  <c r="D2235" i="37"/>
  <c r="D2234" i="37"/>
  <c r="D2233" i="37"/>
  <c r="D2232" i="37"/>
  <c r="D2231" i="37"/>
  <c r="D2230" i="37"/>
  <c r="E2229" i="37"/>
  <c r="D2229" i="37" s="1"/>
  <c r="D2228" i="37"/>
  <c r="E2227" i="37"/>
  <c r="D2227" i="37"/>
  <c r="D2226" i="37"/>
  <c r="D2225" i="37"/>
  <c r="D2224" i="37"/>
  <c r="E2223" i="37"/>
  <c r="D2223" i="37" s="1"/>
  <c r="D2222" i="37"/>
  <c r="D2221" i="37"/>
  <c r="E2220" i="37"/>
  <c r="D2220" i="37" s="1"/>
  <c r="D2219" i="37"/>
  <c r="E2218" i="37"/>
  <c r="D2218" i="37" s="1"/>
  <c r="D2217" i="37"/>
  <c r="D2216" i="37"/>
  <c r="E2215" i="37"/>
  <c r="D2215" i="37"/>
  <c r="D2214" i="37"/>
  <c r="E2211" i="37"/>
  <c r="D2211" i="37" s="1"/>
  <c r="E2210" i="37"/>
  <c r="D2210" i="37" s="1"/>
  <c r="D2209" i="37"/>
  <c r="D2208" i="37"/>
  <c r="D2207" i="37"/>
  <c r="D2206" i="37"/>
  <c r="D2205" i="37"/>
  <c r="D2204" i="37"/>
  <c r="E2202" i="37"/>
  <c r="E2203" i="37" s="1"/>
  <c r="D2203" i="37" s="1"/>
  <c r="D2202" i="37"/>
  <c r="D2201" i="37"/>
  <c r="D2200" i="37"/>
  <c r="E2199" i="37"/>
  <c r="D2199" i="37" s="1"/>
  <c r="D2198" i="37"/>
  <c r="D2197" i="37"/>
  <c r="D2196" i="37"/>
  <c r="D2195" i="37"/>
  <c r="E2193" i="37"/>
  <c r="D2193" i="37" s="1"/>
  <c r="E2192" i="37"/>
  <c r="D2192" i="37" s="1"/>
  <c r="D2191" i="37"/>
  <c r="D2190" i="37"/>
  <c r="D2189" i="37"/>
  <c r="D2188" i="37"/>
  <c r="D2187" i="37"/>
  <c r="E2186" i="37"/>
  <c r="D2186" i="37"/>
  <c r="D2185" i="37"/>
  <c r="D2184" i="37"/>
  <c r="D2183" i="37"/>
  <c r="D2182" i="37"/>
  <c r="D2181" i="37"/>
  <c r="D2180" i="37"/>
  <c r="D2179" i="37"/>
  <c r="D2178" i="37"/>
  <c r="D2177" i="37"/>
  <c r="D2176" i="37"/>
  <c r="E2175" i="37"/>
  <c r="D2175" i="37" s="1"/>
  <c r="D2174" i="37"/>
  <c r="E2173" i="37"/>
  <c r="D2173" i="37" s="1"/>
  <c r="E2172" i="37"/>
  <c r="D2172" i="37" s="1"/>
  <c r="D2171" i="37"/>
  <c r="D2170" i="37"/>
  <c r="D2169" i="37"/>
  <c r="D2168" i="37"/>
  <c r="D2167" i="37"/>
  <c r="D2166" i="37"/>
  <c r="D2165" i="37"/>
  <c r="D2164" i="37"/>
  <c r="D2163" i="37"/>
  <c r="D2162" i="37"/>
  <c r="D2161" i="37"/>
  <c r="D2160" i="37"/>
  <c r="D2159" i="37"/>
  <c r="D2158" i="37"/>
  <c r="E2156" i="37"/>
  <c r="E2157" i="37" s="1"/>
  <c r="D2157" i="37" s="1"/>
  <c r="D2156" i="37"/>
  <c r="D2155" i="37"/>
  <c r="E2153" i="37"/>
  <c r="E2154" i="37" s="1"/>
  <c r="D2154" i="37" s="1"/>
  <c r="D2153" i="37"/>
  <c r="D2152" i="37"/>
  <c r="D2151" i="37"/>
  <c r="D2150" i="37"/>
  <c r="E2148" i="37"/>
  <c r="D2148" i="37" s="1"/>
  <c r="D2147" i="37"/>
  <c r="D2146" i="37"/>
  <c r="D2145" i="37"/>
  <c r="E2144" i="37"/>
  <c r="D2144" i="37" s="1"/>
  <c r="D2143" i="37"/>
  <c r="E2142" i="37"/>
  <c r="D2142" i="37" s="1"/>
  <c r="D2141" i="37"/>
  <c r="D2140" i="37"/>
  <c r="D2139" i="37"/>
  <c r="E2138" i="37"/>
  <c r="D2138" i="37" s="1"/>
  <c r="D2137" i="37"/>
  <c r="E2136" i="37"/>
  <c r="D2136" i="37" s="1"/>
  <c r="D2135" i="37"/>
  <c r="D2134" i="37"/>
  <c r="D2133" i="37"/>
  <c r="D2132" i="37"/>
  <c r="D2131" i="37"/>
  <c r="E2129" i="37"/>
  <c r="E2130" i="37" s="1"/>
  <c r="D2130" i="37" s="1"/>
  <c r="D2129" i="37"/>
  <c r="D2128" i="37"/>
  <c r="D2127" i="37"/>
  <c r="D2126" i="37"/>
  <c r="D2125" i="37"/>
  <c r="E2124" i="37"/>
  <c r="D2124" i="37"/>
  <c r="D2123" i="37"/>
  <c r="D2122" i="37"/>
  <c r="D2121" i="37"/>
  <c r="D2120" i="37"/>
  <c r="D2119" i="37"/>
  <c r="D2118" i="37"/>
  <c r="E2117" i="37"/>
  <c r="D2117" i="37"/>
  <c r="D2116" i="37"/>
  <c r="D2115" i="37"/>
  <c r="E2113" i="37"/>
  <c r="D2112" i="37"/>
  <c r="E2111" i="37"/>
  <c r="D2111" i="37" s="1"/>
  <c r="E2110" i="37"/>
  <c r="D2110" i="37" s="1"/>
  <c r="D2109" i="37"/>
  <c r="D2108" i="37"/>
  <c r="E2106" i="37"/>
  <c r="D2106" i="37" s="1"/>
  <c r="E2105" i="37"/>
  <c r="D2105" i="37" s="1"/>
  <c r="D2104" i="37"/>
  <c r="D2103" i="37"/>
  <c r="D2102" i="37"/>
  <c r="D2101" i="37"/>
  <c r="E2100" i="37"/>
  <c r="D2100" i="37" s="1"/>
  <c r="D2099" i="37"/>
  <c r="D2098" i="37"/>
  <c r="D2097" i="37"/>
  <c r="D2096" i="37"/>
  <c r="D2095" i="37"/>
  <c r="D2094" i="37"/>
  <c r="D2093" i="37"/>
  <c r="D2092" i="37"/>
  <c r="D2091" i="37"/>
  <c r="D2090" i="37"/>
  <c r="D2089" i="37"/>
  <c r="D2088" i="37"/>
  <c r="D2087" i="37"/>
  <c r="E2086" i="37"/>
  <c r="D2086" i="37"/>
  <c r="D2085" i="37"/>
  <c r="E2084" i="37"/>
  <c r="D2084" i="37" s="1"/>
  <c r="D2083" i="37"/>
  <c r="E2082" i="37"/>
  <c r="D2082" i="37" s="1"/>
  <c r="D2081" i="37"/>
  <c r="E2080" i="37"/>
  <c r="D2080" i="37" s="1"/>
  <c r="D2079" i="37"/>
  <c r="E2078" i="37"/>
  <c r="D2078" i="37"/>
  <c r="D2077" i="37"/>
  <c r="E2076" i="37"/>
  <c r="D2076" i="37" s="1"/>
  <c r="D2075" i="37"/>
  <c r="D2074" i="37"/>
  <c r="D2073" i="37"/>
  <c r="D2072" i="37"/>
  <c r="D2071" i="37"/>
  <c r="E2070" i="37"/>
  <c r="D2070" i="37" s="1"/>
  <c r="D2069" i="37"/>
  <c r="D2068" i="37"/>
  <c r="D2067" i="37"/>
  <c r="E2066" i="37"/>
  <c r="D2066" i="37" s="1"/>
  <c r="D2065" i="37"/>
  <c r="E2064" i="37"/>
  <c r="D2064" i="37" s="1"/>
  <c r="D2063" i="37"/>
  <c r="E2062" i="37"/>
  <c r="D2062" i="37" s="1"/>
  <c r="D2061" i="37"/>
  <c r="E2060" i="37"/>
  <c r="D2060" i="37"/>
  <c r="D2059" i="37"/>
  <c r="D2058" i="37"/>
  <c r="E2056" i="37"/>
  <c r="E2057" i="37" s="1"/>
  <c r="D2057" i="37" s="1"/>
  <c r="D2056" i="37"/>
  <c r="D2055" i="37"/>
  <c r="D2054" i="37"/>
  <c r="D2053" i="37"/>
  <c r="D2052" i="37"/>
  <c r="E2051" i="37"/>
  <c r="D2051" i="37"/>
  <c r="D2050" i="37"/>
  <c r="D2049" i="37"/>
  <c r="D2048" i="37"/>
  <c r="E2047" i="37"/>
  <c r="D2047" i="37"/>
  <c r="D2046" i="37"/>
  <c r="E2042" i="37"/>
  <c r="E2041" i="37"/>
  <c r="D2041" i="37"/>
  <c r="D2040" i="37"/>
  <c r="D2039" i="37"/>
  <c r="E2038" i="37"/>
  <c r="D2038" i="37"/>
  <c r="D2037" i="37"/>
  <c r="D2036" i="37"/>
  <c r="D2035" i="37"/>
  <c r="D2034" i="37"/>
  <c r="D2033" i="37"/>
  <c r="D2032" i="37"/>
  <c r="D2031" i="37"/>
  <c r="D2030" i="37"/>
  <c r="D2029" i="37"/>
  <c r="D2028" i="37"/>
  <c r="D2027" i="37"/>
  <c r="D2026" i="37"/>
  <c r="D2025" i="37"/>
  <c r="E2023" i="37"/>
  <c r="E2024" i="37" s="1"/>
  <c r="D2024" i="37" s="1"/>
  <c r="D2023" i="37"/>
  <c r="D2022" i="37"/>
  <c r="D2021" i="37"/>
  <c r="E2018" i="37"/>
  <c r="E2019" i="37" s="1"/>
  <c r="D2018" i="37"/>
  <c r="D2017" i="37"/>
  <c r="D2016" i="37"/>
  <c r="D2015" i="37"/>
  <c r="D2014" i="37"/>
  <c r="D2013" i="37"/>
  <c r="E2011" i="37"/>
  <c r="D2010" i="37"/>
  <c r="D2009" i="37"/>
  <c r="D2008" i="37"/>
  <c r="E2007" i="37"/>
  <c r="D2007" i="37" s="1"/>
  <c r="D2006" i="37"/>
  <c r="D2005" i="37"/>
  <c r="D2004" i="37"/>
  <c r="E2003" i="37"/>
  <c r="D2003" i="37"/>
  <c r="D2002" i="37"/>
  <c r="D2001" i="37"/>
  <c r="D2000" i="37"/>
  <c r="E1997" i="37"/>
  <c r="D1997" i="37" s="1"/>
  <c r="D1996" i="37"/>
  <c r="D1995" i="37"/>
  <c r="D1994" i="37"/>
  <c r="E1993" i="37"/>
  <c r="D1993" i="37" s="1"/>
  <c r="D1992" i="37"/>
  <c r="D1991" i="37"/>
  <c r="D1990" i="37"/>
  <c r="D1989" i="37"/>
  <c r="E1988" i="37"/>
  <c r="D1988" i="37"/>
  <c r="D1987" i="37"/>
  <c r="D1986" i="37"/>
  <c r="D1985" i="37"/>
  <c r="D1984" i="37"/>
  <c r="D1983" i="37"/>
  <c r="D1982" i="37"/>
  <c r="D1981" i="37"/>
  <c r="D1980" i="37"/>
  <c r="D1979" i="37"/>
  <c r="D1978" i="37"/>
  <c r="D1977" i="37"/>
  <c r="D1976" i="37"/>
  <c r="D1975" i="37"/>
  <c r="D1974" i="37"/>
  <c r="E1972" i="37"/>
  <c r="D1971" i="37"/>
  <c r="D1970" i="37"/>
  <c r="D1969" i="37"/>
  <c r="D1968" i="37"/>
  <c r="D1967" i="37"/>
  <c r="E1966" i="37"/>
  <c r="D1966" i="37"/>
  <c r="D1965" i="37"/>
  <c r="D1964" i="37"/>
  <c r="D1963" i="37"/>
  <c r="D1962" i="37"/>
  <c r="D1961" i="37"/>
  <c r="E1960" i="37"/>
  <c r="D1960" i="37"/>
  <c r="D1959" i="37"/>
  <c r="E1957" i="37"/>
  <c r="D1957" i="37" s="1"/>
  <c r="D1956" i="37"/>
  <c r="D1955" i="37"/>
  <c r="D1954" i="37"/>
  <c r="E1953" i="37"/>
  <c r="D1953" i="37" s="1"/>
  <c r="D1952" i="37"/>
  <c r="D1951" i="37"/>
  <c r="D1950" i="37"/>
  <c r="D1949" i="37"/>
  <c r="E1948" i="37"/>
  <c r="D1948" i="37"/>
  <c r="D1947" i="37"/>
  <c r="E1946" i="37"/>
  <c r="D1946" i="37" s="1"/>
  <c r="D1945" i="37"/>
  <c r="E1944" i="37"/>
  <c r="D1944" i="37"/>
  <c r="D1943" i="37"/>
  <c r="D1942" i="37"/>
  <c r="D1941" i="37"/>
  <c r="E1940" i="37"/>
  <c r="D1940" i="37" s="1"/>
  <c r="D1939" i="37"/>
  <c r="E1937" i="37"/>
  <c r="E1938" i="37" s="1"/>
  <c r="D1938" i="37" s="1"/>
  <c r="D1937" i="37"/>
  <c r="D1936" i="37"/>
  <c r="D1935" i="37"/>
  <c r="E1932" i="37"/>
  <c r="E1933" i="37" s="1"/>
  <c r="D1932" i="37"/>
  <c r="D1931" i="37"/>
  <c r="E1930" i="37"/>
  <c r="D1930" i="37" s="1"/>
  <c r="D1929" i="37"/>
  <c r="D1928" i="37"/>
  <c r="E1927" i="37"/>
  <c r="D1927" i="37" s="1"/>
  <c r="D1926" i="37"/>
  <c r="D1925" i="37"/>
  <c r="D1924" i="37"/>
  <c r="E1922" i="37"/>
  <c r="E1923" i="37" s="1"/>
  <c r="D1923" i="37" s="1"/>
  <c r="D1922" i="37"/>
  <c r="D1921" i="37"/>
  <c r="E1920" i="37"/>
  <c r="D1920" i="37"/>
  <c r="D1919" i="37"/>
  <c r="D1918" i="37"/>
  <c r="D1917" i="37"/>
  <c r="E1916" i="37"/>
  <c r="D1916" i="37"/>
  <c r="D1915" i="37"/>
  <c r="D1914" i="37"/>
  <c r="D1913" i="37"/>
  <c r="D1912" i="37"/>
  <c r="D1911" i="37"/>
  <c r="D1910" i="37"/>
  <c r="E1909" i="37"/>
  <c r="D1909" i="37"/>
  <c r="D1908" i="37"/>
  <c r="E1905" i="37"/>
  <c r="D1905" i="37" s="1"/>
  <c r="D1904" i="37"/>
  <c r="D1903" i="37"/>
  <c r="D1902" i="37"/>
  <c r="D1901" i="37"/>
  <c r="D1900" i="37"/>
  <c r="E1899" i="37"/>
  <c r="D1899" i="37"/>
  <c r="D1898" i="37"/>
  <c r="D1897" i="37"/>
  <c r="D1896" i="37"/>
  <c r="D1895" i="37"/>
  <c r="D1894" i="37"/>
  <c r="D1893" i="37"/>
  <c r="D1892" i="37"/>
  <c r="E1891" i="37"/>
  <c r="D1891" i="37" s="1"/>
  <c r="D1890" i="37"/>
  <c r="D1889" i="37"/>
  <c r="D1888" i="37"/>
  <c r="D1887" i="37"/>
  <c r="D1886" i="37"/>
  <c r="E1885" i="37"/>
  <c r="D1885" i="37"/>
  <c r="D1884" i="37"/>
  <c r="D1883" i="37"/>
  <c r="D1882" i="37"/>
  <c r="D1881" i="37"/>
  <c r="D1880" i="37"/>
  <c r="D1879" i="37"/>
  <c r="D1878" i="37"/>
  <c r="E1877" i="37"/>
  <c r="D1877" i="37" s="1"/>
  <c r="D1876" i="37"/>
  <c r="E1875" i="37"/>
  <c r="D1875" i="37"/>
  <c r="D1874" i="37"/>
  <c r="D1873" i="37"/>
  <c r="D1872" i="37"/>
  <c r="D1871" i="37"/>
  <c r="D1870" i="37"/>
  <c r="D1869" i="37"/>
  <c r="D1868" i="37"/>
  <c r="D1867" i="37"/>
  <c r="D1866" i="37"/>
  <c r="D1865" i="37"/>
  <c r="D1864" i="37"/>
  <c r="D1863" i="37"/>
  <c r="E1862" i="37"/>
  <c r="D1862" i="37"/>
  <c r="D1861" i="37"/>
  <c r="D1860" i="37"/>
  <c r="D1859" i="37"/>
  <c r="D1858" i="37"/>
  <c r="E1856" i="37"/>
  <c r="E1857" i="37" s="1"/>
  <c r="D1857" i="37" s="1"/>
  <c r="D1856" i="37"/>
  <c r="D1855" i="37"/>
  <c r="D1854" i="37"/>
  <c r="D1853" i="37"/>
  <c r="D1852" i="37"/>
  <c r="D1851" i="37"/>
  <c r="E1850" i="37"/>
  <c r="D1850" i="37" s="1"/>
  <c r="D1849" i="37"/>
  <c r="D1848" i="37"/>
  <c r="D1847" i="37"/>
  <c r="D1846" i="37"/>
  <c r="D1845" i="37"/>
  <c r="D1844" i="37"/>
  <c r="D1843" i="37"/>
  <c r="E1842" i="37"/>
  <c r="D1842" i="37"/>
  <c r="D1841" i="37"/>
  <c r="E1840" i="37"/>
  <c r="D1840" i="37"/>
  <c r="E1839" i="37"/>
  <c r="D1839" i="37" s="1"/>
  <c r="D1838" i="37"/>
  <c r="D1837" i="37"/>
  <c r="E1835" i="37"/>
  <c r="E1836" i="37" s="1"/>
  <c r="D1836" i="37" s="1"/>
  <c r="D1835" i="37"/>
  <c r="D1834" i="37"/>
  <c r="D1833" i="37"/>
  <c r="D1832" i="37"/>
  <c r="D1831" i="37"/>
  <c r="E1830" i="37"/>
  <c r="D1830" i="37" s="1"/>
  <c r="D1829" i="37"/>
  <c r="D1828" i="37"/>
  <c r="D1827" i="37"/>
  <c r="E1825" i="37"/>
  <c r="E1826" i="37" s="1"/>
  <c r="D1826" i="37" s="1"/>
  <c r="D1825" i="37"/>
  <c r="D1824" i="37"/>
  <c r="E1821" i="37"/>
  <c r="D1821" i="37" s="1"/>
  <c r="D1820" i="37"/>
  <c r="D1819" i="37"/>
  <c r="E1816" i="37"/>
  <c r="D1816" i="37" s="1"/>
  <c r="D1815" i="37"/>
  <c r="D1814" i="37"/>
  <c r="E1811" i="37"/>
  <c r="D1811" i="37" s="1"/>
  <c r="D1810" i="37"/>
  <c r="E1809" i="37"/>
  <c r="D1809" i="37"/>
  <c r="D1808" i="37"/>
  <c r="D1807" i="37"/>
  <c r="D1806" i="37"/>
  <c r="D1805" i="37"/>
  <c r="E1804" i="37"/>
  <c r="D1804" i="37"/>
  <c r="D1803" i="37"/>
  <c r="E1802" i="37"/>
  <c r="D1802" i="37"/>
  <c r="D1801" i="37"/>
  <c r="D1800" i="37"/>
  <c r="E1797" i="37"/>
  <c r="E1798" i="37" s="1"/>
  <c r="D1797" i="37"/>
  <c r="D1796" i="37"/>
  <c r="E1795" i="37"/>
  <c r="D1795" i="37"/>
  <c r="E1794" i="37"/>
  <c r="D1794" i="37"/>
  <c r="D1793" i="37"/>
  <c r="E1792" i="37"/>
  <c r="D1792" i="37"/>
  <c r="E1791" i="37"/>
  <c r="D1791" i="37" s="1"/>
  <c r="D1790" i="37"/>
  <c r="D1789" i="37"/>
  <c r="D1788" i="37"/>
  <c r="D1787" i="37"/>
  <c r="D1786" i="37"/>
  <c r="E1785" i="37"/>
  <c r="D1785" i="37" s="1"/>
  <c r="E1784" i="37"/>
  <c r="D1784" i="37"/>
  <c r="D1783" i="37"/>
  <c r="D1782" i="37"/>
  <c r="E1781" i="37"/>
  <c r="D1781" i="37"/>
  <c r="D1780" i="37"/>
  <c r="D1779" i="37"/>
  <c r="E1777" i="37"/>
  <c r="E1778" i="37" s="1"/>
  <c r="D1778" i="37" s="1"/>
  <c r="D1777" i="37"/>
  <c r="D1776" i="37"/>
  <c r="D1775" i="37"/>
  <c r="E1774" i="37"/>
  <c r="D1774" i="37" s="1"/>
  <c r="D1773" i="37"/>
  <c r="E1772" i="37"/>
  <c r="D1772" i="37" s="1"/>
  <c r="E1771" i="37"/>
  <c r="D1771" i="37"/>
  <c r="D1770" i="37"/>
  <c r="D1769" i="37"/>
  <c r="E1765" i="37"/>
  <c r="E1766" i="37" s="1"/>
  <c r="D1765" i="37"/>
  <c r="D1764" i="37"/>
  <c r="D1763" i="37"/>
  <c r="D1762" i="37"/>
  <c r="D1761" i="37"/>
  <c r="D1760" i="37"/>
  <c r="D1759" i="37"/>
  <c r="D1758" i="37"/>
  <c r="E1757" i="37"/>
  <c r="D1757" i="37" s="1"/>
  <c r="D1756" i="37"/>
  <c r="E1755" i="37"/>
  <c r="D1755" i="37" s="1"/>
  <c r="D1754" i="37"/>
  <c r="D1753" i="37"/>
  <c r="D1752" i="37"/>
  <c r="E1751" i="37"/>
  <c r="D1751" i="37" s="1"/>
  <c r="D1750" i="37"/>
  <c r="D1749" i="37"/>
  <c r="E1747" i="37"/>
  <c r="E1748" i="37" s="1"/>
  <c r="D1748" i="37" s="1"/>
  <c r="D1747" i="37"/>
  <c r="D1746" i="37"/>
  <c r="E1745" i="37"/>
  <c r="D1745" i="37" s="1"/>
  <c r="D1744" i="37"/>
  <c r="D1743" i="37"/>
  <c r="E1742" i="37"/>
  <c r="D1742" i="37"/>
  <c r="D1741" i="37"/>
  <c r="E1740" i="37"/>
  <c r="D1740" i="37" s="1"/>
  <c r="D1739" i="37"/>
  <c r="D1738" i="37"/>
  <c r="D1737" i="37"/>
  <c r="E1736" i="37"/>
  <c r="D1736" i="37"/>
  <c r="D1735" i="37"/>
  <c r="D1734" i="37"/>
  <c r="E1732" i="37"/>
  <c r="D1732" i="37" s="1"/>
  <c r="D1731" i="37"/>
  <c r="D1730" i="37"/>
  <c r="D1729" i="37"/>
  <c r="D1728" i="37"/>
  <c r="E1727" i="37"/>
  <c r="D1727" i="37"/>
  <c r="D1726" i="37"/>
  <c r="E1725" i="37"/>
  <c r="D1725" i="37"/>
  <c r="D1724" i="37"/>
  <c r="E1723" i="37"/>
  <c r="D1723" i="37"/>
  <c r="D1722" i="37"/>
  <c r="D1721" i="37"/>
  <c r="E1720" i="37"/>
  <c r="D1720" i="37" s="1"/>
  <c r="D1719" i="37"/>
  <c r="D1718" i="37"/>
  <c r="D1717" i="37"/>
  <c r="D1716" i="37"/>
  <c r="E1715" i="37"/>
  <c r="D1715" i="37"/>
  <c r="D1714" i="37"/>
  <c r="D1713" i="37"/>
  <c r="E1712" i="37"/>
  <c r="D1712" i="37"/>
  <c r="D1711" i="37"/>
  <c r="D1710" i="37"/>
  <c r="D1709" i="37"/>
  <c r="D1708" i="37"/>
  <c r="E1707" i="37"/>
  <c r="D1707" i="37" s="1"/>
  <c r="D1706" i="37"/>
  <c r="E1705" i="37"/>
  <c r="D1705" i="37"/>
  <c r="D1704" i="37"/>
  <c r="D1703" i="37"/>
  <c r="D1702" i="37"/>
  <c r="D1701" i="37"/>
  <c r="E1699" i="37"/>
  <c r="E1700" i="37" s="1"/>
  <c r="D1700" i="37" s="1"/>
  <c r="D1699" i="37"/>
  <c r="D1698" i="37"/>
  <c r="D1697" i="37"/>
  <c r="E1694" i="37"/>
  <c r="E1695" i="37" s="1"/>
  <c r="D1694" i="37"/>
  <c r="D1693" i="37"/>
  <c r="D1692" i="37"/>
  <c r="D1691" i="37"/>
  <c r="D1690" i="37"/>
  <c r="E1688" i="37"/>
  <c r="E1689" i="37" s="1"/>
  <c r="D1689" i="37" s="1"/>
  <c r="D1688" i="37"/>
  <c r="D1687" i="37"/>
  <c r="E1686" i="37"/>
  <c r="D1686" i="37"/>
  <c r="D1685" i="37"/>
  <c r="D1684" i="37"/>
  <c r="D1683" i="37"/>
  <c r="E1682" i="37"/>
  <c r="D1682" i="37"/>
  <c r="D1681" i="37"/>
  <c r="E1680" i="37"/>
  <c r="D1680" i="37"/>
  <c r="D1679" i="37"/>
  <c r="E1676" i="37"/>
  <c r="E1675" i="37"/>
  <c r="D1675" i="37"/>
  <c r="D1674" i="37"/>
  <c r="D1673" i="37"/>
  <c r="E1671" i="37"/>
  <c r="D1670" i="37"/>
  <c r="D1669" i="37"/>
  <c r="D1668" i="37"/>
  <c r="E1666" i="37"/>
  <c r="E1667" i="37" s="1"/>
  <c r="D1667" i="37" s="1"/>
  <c r="D1666" i="37"/>
  <c r="E1665" i="37"/>
  <c r="D1665" i="37" s="1"/>
  <c r="D1664" i="37"/>
  <c r="D1663" i="37"/>
  <c r="D1662" i="37"/>
  <c r="D1661" i="37"/>
  <c r="E1660" i="37"/>
  <c r="D1660" i="37"/>
  <c r="E1659" i="37"/>
  <c r="D1659" i="37" s="1"/>
  <c r="D1658" i="37"/>
  <c r="D1657" i="37"/>
  <c r="E1655" i="37"/>
  <c r="E1656" i="37" s="1"/>
  <c r="D1656" i="37" s="1"/>
  <c r="D1655" i="37"/>
  <c r="D1654" i="37"/>
  <c r="D1653" i="37"/>
  <c r="D1652" i="37"/>
  <c r="D1651" i="37"/>
  <c r="E1650" i="37"/>
  <c r="D1650" i="37"/>
  <c r="D1649" i="37"/>
  <c r="D1648" i="37"/>
  <c r="D1647" i="37"/>
  <c r="E1646" i="37"/>
  <c r="D1646" i="37"/>
  <c r="D1645" i="37"/>
  <c r="D1644" i="37"/>
  <c r="D1643" i="37"/>
  <c r="E1642" i="37"/>
  <c r="D1642" i="37"/>
  <c r="D1641" i="37"/>
  <c r="D1640" i="37"/>
  <c r="D1639" i="37"/>
  <c r="D1638" i="37"/>
  <c r="E1637" i="37"/>
  <c r="D1637" i="37"/>
  <c r="D1636" i="37"/>
  <c r="E1635" i="37"/>
  <c r="D1635" i="37" s="1"/>
  <c r="D1634" i="37"/>
  <c r="D1633" i="37"/>
  <c r="D1632" i="37"/>
  <c r="D1631" i="37"/>
  <c r="D1630" i="37"/>
  <c r="D1629" i="37"/>
  <c r="E1628" i="37"/>
  <c r="D1628" i="37" s="1"/>
  <c r="D1627" i="37"/>
  <c r="E1626" i="37"/>
  <c r="D1626" i="37" s="1"/>
  <c r="D1625" i="37"/>
  <c r="D1624" i="37"/>
  <c r="D1623" i="37"/>
  <c r="E1622" i="37"/>
  <c r="D1622" i="37" s="1"/>
  <c r="D1621" i="37"/>
  <c r="E1620" i="37"/>
  <c r="D1620" i="37" s="1"/>
  <c r="E1619" i="37"/>
  <c r="D1619" i="37"/>
  <c r="D1618" i="37"/>
  <c r="E1617" i="37"/>
  <c r="D1617" i="37" s="1"/>
  <c r="D1616" i="37"/>
  <c r="E1615" i="37"/>
  <c r="D1615" i="37" s="1"/>
  <c r="D1614" i="37"/>
  <c r="D1613" i="37"/>
  <c r="D1612" i="37"/>
  <c r="D1611" i="37"/>
  <c r="E1609" i="37"/>
  <c r="D1609" i="37" s="1"/>
  <c r="D1608" i="37"/>
  <c r="D1607" i="37"/>
  <c r="E1606" i="37"/>
  <c r="D1606" i="37"/>
  <c r="E1605" i="37"/>
  <c r="D1605" i="37"/>
  <c r="D1604" i="37"/>
  <c r="D1603" i="37"/>
  <c r="E1602" i="37"/>
  <c r="D1602" i="37"/>
  <c r="D1601" i="37"/>
  <c r="E1600" i="37"/>
  <c r="D1600" i="37" s="1"/>
  <c r="D1599" i="37"/>
  <c r="D1598" i="37"/>
  <c r="E1595" i="37"/>
  <c r="D1594" i="37"/>
  <c r="D1593" i="37"/>
  <c r="D1592" i="37"/>
  <c r="D1591" i="37"/>
  <c r="D1590" i="37"/>
  <c r="E1589" i="37"/>
  <c r="D1589" i="37"/>
  <c r="D1588" i="37"/>
  <c r="D1587" i="37"/>
  <c r="D1586" i="37"/>
  <c r="D1585" i="37"/>
  <c r="D1584" i="37"/>
  <c r="D1583" i="37"/>
  <c r="D1582" i="37"/>
  <c r="D1581" i="37"/>
  <c r="E1580" i="37"/>
  <c r="D1580" i="37" s="1"/>
  <c r="D1579" i="37"/>
  <c r="D1578" i="37"/>
  <c r="E1576" i="37"/>
  <c r="E1577" i="37" s="1"/>
  <c r="D1577" i="37" s="1"/>
  <c r="D1576" i="37"/>
  <c r="E1575" i="37"/>
  <c r="D1575" i="37" s="1"/>
  <c r="D1574" i="37"/>
  <c r="D1573" i="37"/>
  <c r="D1572" i="37"/>
  <c r="D1571" i="37"/>
  <c r="D1570" i="37"/>
  <c r="D1569" i="37"/>
  <c r="D1568" i="37"/>
  <c r="D1567" i="37"/>
  <c r="D1566" i="37"/>
  <c r="D1565" i="37"/>
  <c r="E1564" i="37"/>
  <c r="D1564" i="37"/>
  <c r="D1563" i="37"/>
  <c r="E1562" i="37"/>
  <c r="D1562" i="37" s="1"/>
  <c r="D1561" i="37"/>
  <c r="D1560" i="37"/>
  <c r="E1558" i="37"/>
  <c r="E1559" i="37" s="1"/>
  <c r="D1559" i="37" s="1"/>
  <c r="D1558" i="37"/>
  <c r="D1557" i="37"/>
  <c r="D1556" i="37"/>
  <c r="E1555" i="37"/>
  <c r="D1555" i="37"/>
  <c r="D1554" i="37"/>
  <c r="D1553" i="37"/>
  <c r="E1552" i="37"/>
  <c r="D1552" i="37"/>
  <c r="D1551" i="37"/>
  <c r="E1550" i="37"/>
  <c r="D1550" i="37" s="1"/>
  <c r="D1549" i="37"/>
  <c r="E1548" i="37"/>
  <c r="D1548" i="37" s="1"/>
  <c r="D1547" i="37"/>
  <c r="E1546" i="37"/>
  <c r="D1546" i="37"/>
  <c r="E1545" i="37"/>
  <c r="D1545" i="37" s="1"/>
  <c r="D1544" i="37"/>
  <c r="E1543" i="37"/>
  <c r="D1543" i="37" s="1"/>
  <c r="D1542" i="37"/>
  <c r="E1541" i="37"/>
  <c r="D1541" i="37"/>
  <c r="D1540" i="37"/>
  <c r="D1539" i="37"/>
  <c r="D1538" i="37"/>
  <c r="E1536" i="37"/>
  <c r="E1537" i="37" s="1"/>
  <c r="D1537" i="37" s="1"/>
  <c r="D1536" i="37"/>
  <c r="D1535" i="37"/>
  <c r="D1534" i="37"/>
  <c r="E1533" i="37"/>
  <c r="D1533" i="37"/>
  <c r="D1532" i="37"/>
  <c r="D1531" i="37"/>
  <c r="D1530" i="37"/>
  <c r="E1529" i="37"/>
  <c r="D1529" i="37"/>
  <c r="E1528" i="37"/>
  <c r="D1528" i="37" s="1"/>
  <c r="D1527" i="37"/>
  <c r="E1525" i="37"/>
  <c r="E1526" i="37" s="1"/>
  <c r="D1526" i="37" s="1"/>
  <c r="D1525" i="37"/>
  <c r="D1524" i="37"/>
  <c r="D1523" i="37"/>
  <c r="E1522" i="37"/>
  <c r="D1522" i="37"/>
  <c r="D1521" i="37"/>
  <c r="D1520" i="37"/>
  <c r="D1519" i="37"/>
  <c r="E1518" i="37"/>
  <c r="D1518" i="37"/>
  <c r="D1517" i="37"/>
  <c r="D1516" i="37"/>
  <c r="D1515" i="37"/>
  <c r="D1514" i="37"/>
  <c r="D1513" i="37"/>
  <c r="E1512" i="37"/>
  <c r="D1512" i="37"/>
  <c r="D1511" i="37"/>
  <c r="E1510" i="37"/>
  <c r="D1510" i="37"/>
  <c r="D1509" i="37"/>
  <c r="D1508" i="37"/>
  <c r="E1507" i="37"/>
  <c r="D1507" i="37"/>
  <c r="D1506" i="37"/>
  <c r="E1505" i="37"/>
  <c r="D1505" i="37" s="1"/>
  <c r="D1504" i="37"/>
  <c r="E1503" i="37"/>
  <c r="D1503" i="37" s="1"/>
  <c r="E1502" i="37"/>
  <c r="D1502" i="37"/>
  <c r="D1501" i="37"/>
  <c r="D1500" i="37"/>
  <c r="E1499" i="37"/>
  <c r="D1499" i="37"/>
  <c r="D1498" i="37"/>
  <c r="D1497" i="37"/>
  <c r="E1495" i="37"/>
  <c r="E1496" i="37" s="1"/>
  <c r="D1496" i="37" s="1"/>
  <c r="D1495" i="37"/>
  <c r="D1494" i="37"/>
  <c r="E1493" i="37"/>
  <c r="D1493" i="37"/>
  <c r="D1492" i="37"/>
  <c r="D1491" i="37"/>
  <c r="D1490" i="37"/>
  <c r="E1487" i="37"/>
  <c r="D1487" i="37" s="1"/>
  <c r="D1486" i="37"/>
  <c r="E1485" i="37"/>
  <c r="D1485" i="37"/>
  <c r="D1484" i="37"/>
  <c r="E1482" i="37"/>
  <c r="D1482" i="37" s="1"/>
  <c r="D1481" i="37"/>
  <c r="E1480" i="37"/>
  <c r="D1480" i="37"/>
  <c r="D1479" i="37"/>
  <c r="D1478" i="37"/>
  <c r="E1477" i="37"/>
  <c r="D1477" i="37"/>
  <c r="D1476" i="37"/>
  <c r="E1475" i="37"/>
  <c r="D1475" i="37"/>
  <c r="D1474" i="37"/>
  <c r="D1473" i="37"/>
  <c r="D1472" i="37"/>
  <c r="D1471" i="37"/>
  <c r="E1470" i="37"/>
  <c r="D1470" i="37" s="1"/>
  <c r="D1469" i="37"/>
  <c r="D1468" i="37"/>
  <c r="D1467" i="37"/>
  <c r="D1466" i="37"/>
  <c r="D1465" i="37"/>
  <c r="D1464" i="37"/>
  <c r="D1463" i="37"/>
  <c r="D1462" i="37"/>
  <c r="D1461" i="37"/>
  <c r="D1460" i="37"/>
  <c r="D1459" i="37"/>
  <c r="D1458" i="37"/>
  <c r="D1457" i="37"/>
  <c r="D1455" i="37"/>
  <c r="D1454" i="37"/>
  <c r="D1453" i="37"/>
  <c r="D1452" i="37"/>
  <c r="D1451" i="37"/>
  <c r="D1450" i="37"/>
  <c r="D1449" i="37"/>
  <c r="D1448" i="37"/>
  <c r="D1447" i="37"/>
  <c r="D1446" i="37"/>
  <c r="D1445" i="37"/>
  <c r="D1444" i="37"/>
  <c r="D1443" i="37"/>
  <c r="D1442" i="37"/>
  <c r="D1441" i="37"/>
  <c r="D1440" i="37"/>
  <c r="D1439" i="37"/>
  <c r="D1438" i="37"/>
  <c r="D1437" i="37"/>
  <c r="D1436" i="37"/>
  <c r="D1435" i="37"/>
  <c r="D1434" i="37"/>
  <c r="D1433" i="37"/>
  <c r="D1432" i="37"/>
  <c r="D1431" i="37"/>
  <c r="D1430" i="37"/>
  <c r="D1429" i="37"/>
  <c r="D1428" i="37"/>
  <c r="D1427" i="37"/>
  <c r="D1426" i="37"/>
  <c r="D1425" i="37"/>
  <c r="D1424" i="37"/>
  <c r="D1423" i="37"/>
  <c r="D1422" i="37"/>
  <c r="D1421" i="37"/>
  <c r="D1420" i="37"/>
  <c r="D1419" i="37"/>
  <c r="D1418" i="37"/>
  <c r="D1417" i="37"/>
  <c r="D1416" i="37"/>
  <c r="D1415" i="37"/>
  <c r="D1414" i="37"/>
  <c r="D1413" i="37"/>
  <c r="D1412" i="37"/>
  <c r="D1411" i="37"/>
  <c r="D1410" i="37"/>
  <c r="D1409" i="37"/>
  <c r="D1408" i="37"/>
  <c r="D1407" i="37"/>
  <c r="D1406" i="37"/>
  <c r="D1405" i="37"/>
  <c r="D1404" i="37"/>
  <c r="D1403" i="37"/>
  <c r="D1402" i="37"/>
  <c r="D1401" i="37"/>
  <c r="D1400" i="37"/>
  <c r="D1399" i="37"/>
  <c r="D1398" i="37"/>
  <c r="D1397" i="37"/>
  <c r="D1396" i="37"/>
  <c r="D1395" i="37"/>
  <c r="D1394" i="37"/>
  <c r="D1393" i="37"/>
  <c r="D1392" i="37"/>
  <c r="D1391" i="37"/>
  <c r="D1390" i="37"/>
  <c r="D1389" i="37"/>
  <c r="D1388" i="37"/>
  <c r="D1387" i="37"/>
  <c r="D1386" i="37"/>
  <c r="D1385" i="37"/>
  <c r="D1384" i="37"/>
  <c r="D1383" i="37"/>
  <c r="D1382" i="37"/>
  <c r="D1381" i="37"/>
  <c r="D1380" i="37"/>
  <c r="D1379" i="37"/>
  <c r="D1378" i="37"/>
  <c r="D1377" i="37"/>
  <c r="D1376" i="37"/>
  <c r="D1375" i="37"/>
  <c r="D1374" i="37"/>
  <c r="D1373" i="37"/>
  <c r="D1372" i="37"/>
  <c r="D1371" i="37"/>
  <c r="D1370" i="37"/>
  <c r="D1369" i="37"/>
  <c r="D1368" i="37"/>
  <c r="D1367" i="37"/>
  <c r="D1366" i="37"/>
  <c r="D1365" i="37"/>
  <c r="D1364" i="37"/>
  <c r="D1363" i="37"/>
  <c r="D1362" i="37"/>
  <c r="D1361" i="37"/>
  <c r="D1360" i="37"/>
  <c r="D1359" i="37"/>
  <c r="D1358" i="37"/>
  <c r="D1357" i="37"/>
  <c r="D1356" i="37"/>
  <c r="D1355" i="37"/>
  <c r="D1354" i="37"/>
  <c r="D1353" i="37"/>
  <c r="D1352" i="37"/>
  <c r="D1351" i="37"/>
  <c r="D1350" i="37"/>
  <c r="D1349" i="37"/>
  <c r="D1348" i="37"/>
  <c r="D1347" i="37"/>
  <c r="D1346" i="37"/>
  <c r="D1345" i="37"/>
  <c r="D1344" i="37"/>
  <c r="D1343" i="37"/>
  <c r="D1342" i="37"/>
  <c r="D1341" i="37"/>
  <c r="D1340" i="37"/>
  <c r="D1339" i="37"/>
  <c r="D1338" i="37"/>
  <c r="D1337" i="37"/>
  <c r="D1336" i="37"/>
  <c r="D1335" i="37"/>
  <c r="D1334" i="37"/>
  <c r="D1333" i="37"/>
  <c r="D1332" i="37"/>
  <c r="D1331" i="37"/>
  <c r="D1330" i="37"/>
  <c r="D1329" i="37"/>
  <c r="D1328" i="37"/>
  <c r="D1327" i="37"/>
  <c r="D1326" i="37"/>
  <c r="D1325" i="37"/>
  <c r="D1324" i="37"/>
  <c r="D1323" i="37"/>
  <c r="D1322" i="37"/>
  <c r="D1321" i="37"/>
  <c r="D1320" i="37"/>
  <c r="D1319" i="37"/>
  <c r="D1318" i="37"/>
  <c r="D1317" i="37"/>
  <c r="D1316" i="37"/>
  <c r="D1315" i="37"/>
  <c r="D1314" i="37"/>
  <c r="D1313" i="37"/>
  <c r="D1312" i="37"/>
  <c r="D1311" i="37"/>
  <c r="D1310" i="37"/>
  <c r="D1309" i="37"/>
  <c r="D1308" i="37"/>
  <c r="D1307" i="37"/>
  <c r="D1306" i="37"/>
  <c r="D1305" i="37"/>
  <c r="D1304" i="37"/>
  <c r="D1303" i="37"/>
  <c r="D1302" i="37"/>
  <c r="D1301" i="37"/>
  <c r="D1300" i="37"/>
  <c r="D1299" i="37"/>
  <c r="D1298" i="37"/>
  <c r="D1297" i="37"/>
  <c r="D1296" i="37"/>
  <c r="D1295" i="37"/>
  <c r="D1294" i="37"/>
  <c r="D1293" i="37"/>
  <c r="D1292" i="37"/>
  <c r="D1291" i="37"/>
  <c r="D1290" i="37"/>
  <c r="D1289" i="37"/>
  <c r="D1288" i="37"/>
  <c r="D1287" i="37"/>
  <c r="D1286" i="37"/>
  <c r="D1285" i="37"/>
  <c r="D1284" i="37"/>
  <c r="D1283" i="37"/>
  <c r="D1282" i="37"/>
  <c r="D1281" i="37"/>
  <c r="D1280" i="37"/>
  <c r="D1279" i="37"/>
  <c r="D1278" i="37"/>
  <c r="D1277" i="37"/>
  <c r="D1276" i="37"/>
  <c r="D1275" i="37"/>
  <c r="D1274" i="37"/>
  <c r="D1273" i="37"/>
  <c r="D1272" i="37"/>
  <c r="D1271" i="37"/>
  <c r="D1270" i="37"/>
  <c r="D1269" i="37"/>
  <c r="D1268" i="37"/>
  <c r="D1267" i="37"/>
  <c r="D1266" i="37"/>
  <c r="D1265" i="37"/>
  <c r="D1264" i="37"/>
  <c r="D1263" i="37"/>
  <c r="D1262" i="37"/>
  <c r="D1261" i="37"/>
  <c r="D1260" i="37"/>
  <c r="D1259" i="37"/>
  <c r="D1258" i="37"/>
  <c r="D1257" i="37"/>
  <c r="D1256" i="37"/>
  <c r="D1255" i="37"/>
  <c r="D1254" i="37"/>
  <c r="D1253" i="37"/>
  <c r="D1252" i="37"/>
  <c r="D1251" i="37"/>
  <c r="D1250" i="37"/>
  <c r="D1249" i="37"/>
  <c r="D1248" i="37"/>
  <c r="D1247" i="37"/>
  <c r="D1246" i="37"/>
  <c r="D1245" i="37"/>
  <c r="D1244" i="37"/>
  <c r="D1243" i="37"/>
  <c r="D1242" i="37"/>
  <c r="D1241" i="37"/>
  <c r="D1240" i="37"/>
  <c r="D1239" i="37"/>
  <c r="D1238" i="37"/>
  <c r="D1237" i="37"/>
  <c r="D1236" i="37"/>
  <c r="D1235" i="37"/>
  <c r="D1234" i="37"/>
  <c r="D1233" i="37"/>
  <c r="D1232" i="37"/>
  <c r="D1231" i="37"/>
  <c r="D1230" i="37"/>
  <c r="D1229" i="37"/>
  <c r="D1228" i="37"/>
  <c r="D1227" i="37"/>
  <c r="D1226" i="37"/>
  <c r="D1225" i="37"/>
  <c r="D1224" i="37"/>
  <c r="D1223" i="37"/>
  <c r="D1222" i="37"/>
  <c r="D1221" i="37"/>
  <c r="D1220" i="37"/>
  <c r="D1219" i="37"/>
  <c r="D1218" i="37"/>
  <c r="D1217" i="37"/>
  <c r="D1216" i="37"/>
  <c r="D1215" i="37"/>
  <c r="D1214" i="37"/>
  <c r="D1213" i="37"/>
  <c r="D1212" i="37"/>
  <c r="D1211" i="37"/>
  <c r="D1210" i="37"/>
  <c r="D1209" i="37"/>
  <c r="D1208" i="37"/>
  <c r="D1207" i="37"/>
  <c r="D1206" i="37"/>
  <c r="D1205" i="37"/>
  <c r="D1204" i="37"/>
  <c r="D1203" i="37"/>
  <c r="D1202" i="37"/>
  <c r="D1201" i="37"/>
  <c r="D1200" i="37"/>
  <c r="D1199" i="37"/>
  <c r="D1198" i="37"/>
  <c r="D1197" i="37"/>
  <c r="D1196" i="37"/>
  <c r="D1195" i="37"/>
  <c r="D1194" i="37"/>
  <c r="D1193" i="37"/>
  <c r="D1192" i="37"/>
  <c r="D1191" i="37"/>
  <c r="D1190" i="37"/>
  <c r="D1189" i="37"/>
  <c r="D1188" i="37"/>
  <c r="D1187" i="37"/>
  <c r="D1186" i="37"/>
  <c r="D1185" i="37"/>
  <c r="D1184" i="37"/>
  <c r="D1183" i="37"/>
  <c r="D1182" i="37"/>
  <c r="D1181" i="37"/>
  <c r="D1180" i="37"/>
  <c r="F1175" i="37"/>
  <c r="F1176" i="37" s="1"/>
  <c r="E1175" i="37"/>
  <c r="D1175" i="37"/>
  <c r="D1174" i="37"/>
  <c r="D1173" i="37"/>
  <c r="D1172" i="37"/>
  <c r="E1170" i="37"/>
  <c r="E1169" i="37"/>
  <c r="F1166" i="37"/>
  <c r="F1167" i="37" s="1"/>
  <c r="E1165" i="37"/>
  <c r="D1165" i="37" s="1"/>
  <c r="F1164" i="37"/>
  <c r="D1164" i="37"/>
  <c r="D1163" i="37"/>
  <c r="E1162" i="37"/>
  <c r="D1162" i="37" s="1"/>
  <c r="E1161" i="37"/>
  <c r="E1159" i="37"/>
  <c r="F1157" i="37"/>
  <c r="F1158" i="37" s="1"/>
  <c r="D1157" i="37"/>
  <c r="D1156" i="37"/>
  <c r="D1155" i="37"/>
  <c r="F1154" i="37"/>
  <c r="D1154" i="37" s="1"/>
  <c r="F1153" i="37"/>
  <c r="D1153" i="37"/>
  <c r="D1152" i="37"/>
  <c r="F1150" i="37"/>
  <c r="F1151" i="37" s="1"/>
  <c r="D1151" i="37" s="1"/>
  <c r="D1150" i="37"/>
  <c r="F1149" i="37"/>
  <c r="D1149" i="37" s="1"/>
  <c r="D1148" i="37"/>
  <c r="F1147" i="37"/>
  <c r="D1147" i="37"/>
  <c r="D1146" i="37"/>
  <c r="D1145" i="37"/>
  <c r="D1144" i="37"/>
  <c r="F1143" i="37"/>
  <c r="D1143" i="37" s="1"/>
  <c r="D1142" i="37"/>
  <c r="F1140" i="37"/>
  <c r="F1141" i="37" s="1"/>
  <c r="D1141" i="37" s="1"/>
  <c r="D1140" i="37"/>
  <c r="D1139" i="37"/>
  <c r="F1137" i="37"/>
  <c r="D1137" i="37" s="1"/>
  <c r="F1136" i="37"/>
  <c r="D1136" i="37"/>
  <c r="D1135" i="37"/>
  <c r="D1134" i="37"/>
  <c r="D1132" i="37"/>
  <c r="D1129" i="37"/>
  <c r="D1125" i="37"/>
  <c r="D1126" i="37" s="1"/>
  <c r="D1127" i="37" s="1"/>
  <c r="D1123" i="37"/>
  <c r="D1120" i="37"/>
  <c r="D1121" i="37" s="1"/>
  <c r="D1119" i="37"/>
  <c r="D1116" i="37"/>
  <c r="D1117" i="37" s="1"/>
  <c r="D1115" i="37"/>
  <c r="D1110" i="37"/>
  <c r="D1111" i="37" s="1"/>
  <c r="D1107" i="37"/>
  <c r="D1108" i="37" s="1"/>
  <c r="D1106" i="37"/>
  <c r="D1104" i="37"/>
  <c r="D1097" i="37"/>
  <c r="D1095" i="37"/>
  <c r="D1092" i="37"/>
  <c r="D323" i="37"/>
  <c r="H297" i="37"/>
  <c r="H298" i="37" s="1"/>
  <c r="H299" i="37" s="1"/>
  <c r="H300" i="37" s="1"/>
  <c r="H301" i="37" s="1"/>
  <c r="H302" i="37" s="1"/>
  <c r="C173" i="37"/>
  <c r="C178" i="37" s="1"/>
  <c r="C183" i="37" s="1"/>
  <c r="C188" i="37" s="1"/>
  <c r="C193" i="37" s="1"/>
  <c r="C198" i="37" s="1"/>
  <c r="C203" i="37" s="1"/>
  <c r="C208" i="37" s="1"/>
  <c r="C213" i="37" s="1"/>
  <c r="C218" i="37" s="1"/>
  <c r="C223" i="37" s="1"/>
  <c r="C228" i="37" s="1"/>
  <c r="C233" i="37" s="1"/>
  <c r="C238" i="37" s="1"/>
  <c r="C243" i="37" s="1"/>
  <c r="C248" i="37" s="1"/>
  <c r="C253" i="37" s="1"/>
  <c r="C258" i="37" s="1"/>
  <c r="C263" i="37" s="1"/>
  <c r="C157" i="37"/>
  <c r="C162" i="37" s="1"/>
  <c r="C167" i="37" s="1"/>
  <c r="C172" i="37" s="1"/>
  <c r="C177" i="37" s="1"/>
  <c r="C182" i="37" s="1"/>
  <c r="C187" i="37" s="1"/>
  <c r="C192" i="37" s="1"/>
  <c r="C197" i="37" s="1"/>
  <c r="C202" i="37" s="1"/>
  <c r="C207" i="37" s="1"/>
  <c r="C212" i="37" s="1"/>
  <c r="C217" i="37" s="1"/>
  <c r="C222" i="37" s="1"/>
  <c r="C227" i="37" s="1"/>
  <c r="C232" i="37" s="1"/>
  <c r="C237" i="37" s="1"/>
  <c r="C242" i="37" s="1"/>
  <c r="C247" i="37" s="1"/>
  <c r="C252" i="37" s="1"/>
  <c r="C257" i="37" s="1"/>
  <c r="C262" i="37" s="1"/>
  <c r="C133" i="37"/>
  <c r="C138" i="37" s="1"/>
  <c r="C143" i="37" s="1"/>
  <c r="C148" i="37" s="1"/>
  <c r="C153" i="37" s="1"/>
  <c r="C158" i="37" s="1"/>
  <c r="C163" i="37" s="1"/>
  <c r="C168" i="37" s="1"/>
  <c r="C132" i="37"/>
  <c r="C137" i="37" s="1"/>
  <c r="C142" i="37" s="1"/>
  <c r="C147" i="37" s="1"/>
  <c r="C152" i="37" s="1"/>
  <c r="C131" i="37"/>
  <c r="C136" i="37" s="1"/>
  <c r="C141" i="37" s="1"/>
  <c r="C146" i="37" s="1"/>
  <c r="C151" i="37" s="1"/>
  <c r="C156" i="37" s="1"/>
  <c r="C161" i="37" s="1"/>
  <c r="C166" i="37" s="1"/>
  <c r="C171" i="37" s="1"/>
  <c r="C176" i="37" s="1"/>
  <c r="C181" i="37" s="1"/>
  <c r="C186" i="37" s="1"/>
  <c r="C191" i="37" s="1"/>
  <c r="C196" i="37" s="1"/>
  <c r="C201" i="37" s="1"/>
  <c r="C206" i="37" s="1"/>
  <c r="C211" i="37" s="1"/>
  <c r="C216" i="37" s="1"/>
  <c r="C221" i="37" s="1"/>
  <c r="C226" i="37" s="1"/>
  <c r="C231" i="37" s="1"/>
  <c r="C236" i="37" s="1"/>
  <c r="C241" i="37" s="1"/>
  <c r="C246" i="37" s="1"/>
  <c r="C251" i="37" s="1"/>
  <c r="C256" i="37" s="1"/>
  <c r="C261" i="37" s="1"/>
  <c r="C130" i="37"/>
  <c r="C135" i="37" s="1"/>
  <c r="C140" i="37" s="1"/>
  <c r="C145" i="37" s="1"/>
  <c r="C150" i="37" s="1"/>
  <c r="C155" i="37" s="1"/>
  <c r="C160" i="37" s="1"/>
  <c r="C165" i="37" s="1"/>
  <c r="C170" i="37" s="1"/>
  <c r="C175" i="37" s="1"/>
  <c r="C180" i="37" s="1"/>
  <c r="C185" i="37" s="1"/>
  <c r="C190" i="37" s="1"/>
  <c r="C195" i="37" s="1"/>
  <c r="C200" i="37" s="1"/>
  <c r="C205" i="37" s="1"/>
  <c r="C210" i="37" s="1"/>
  <c r="C215" i="37" s="1"/>
  <c r="C220" i="37" s="1"/>
  <c r="C225" i="37" s="1"/>
  <c r="C230" i="37" s="1"/>
  <c r="C235" i="37" s="1"/>
  <c r="C240" i="37" s="1"/>
  <c r="C245" i="37" s="1"/>
  <c r="C250" i="37" s="1"/>
  <c r="C255" i="37" s="1"/>
  <c r="C260" i="37" s="1"/>
  <c r="C128" i="37"/>
  <c r="C129" i="37" s="1"/>
  <c r="C134" i="37" s="1"/>
  <c r="C139" i="37" s="1"/>
  <c r="C144" i="37" s="1"/>
  <c r="C149" i="37" s="1"/>
  <c r="C154" i="37" s="1"/>
  <c r="C159" i="37" s="1"/>
  <c r="C164" i="37" s="1"/>
  <c r="C169" i="37" s="1"/>
  <c r="C174" i="37" s="1"/>
  <c r="C179" i="37" s="1"/>
  <c r="C184" i="37" s="1"/>
  <c r="C189" i="37" s="1"/>
  <c r="C194" i="37" s="1"/>
  <c r="C199" i="37" s="1"/>
  <c r="C204" i="37" s="1"/>
  <c r="C209" i="37" s="1"/>
  <c r="C214" i="37" s="1"/>
  <c r="C219" i="37" s="1"/>
  <c r="C224" i="37" s="1"/>
  <c r="C229" i="37" s="1"/>
  <c r="C234" i="37" s="1"/>
  <c r="C239" i="37" s="1"/>
  <c r="C244" i="37" s="1"/>
  <c r="C249" i="37" s="1"/>
  <c r="C254" i="37" s="1"/>
  <c r="C259" i="37" s="1"/>
  <c r="C264" i="37" s="1"/>
  <c r="D105" i="37"/>
  <c r="D101" i="37"/>
  <c r="D97" i="37"/>
  <c r="D94" i="37"/>
  <c r="D89" i="37"/>
  <c r="D86" i="37"/>
  <c r="D76" i="37"/>
  <c r="D74" i="37"/>
  <c r="D71" i="37"/>
  <c r="D69" i="37"/>
  <c r="D67" i="37"/>
  <c r="E65" i="37"/>
  <c r="D65" i="37"/>
  <c r="E63" i="37"/>
  <c r="D52" i="37"/>
  <c r="D50" i="37"/>
  <c r="D46" i="37"/>
  <c r="D47" i="37" s="1"/>
  <c r="D42" i="37"/>
  <c r="D39" i="37"/>
  <c r="D40" i="37" s="1"/>
  <c r="D35" i="37"/>
  <c r="D36" i="37" s="1"/>
  <c r="D32" i="37"/>
  <c r="D27" i="37"/>
  <c r="D22" i="37"/>
  <c r="D19" i="37"/>
  <c r="D16" i="37"/>
  <c r="D15" i="37"/>
  <c r="D12" i="37"/>
  <c r="D9" i="37"/>
  <c r="D7" i="37"/>
  <c r="Q70" i="24"/>
  <c r="Q67" i="24"/>
  <c r="P12" i="24"/>
  <c r="L57" i="3"/>
  <c r="J57" i="3"/>
  <c r="N59" i="24"/>
  <c r="N28" i="24"/>
  <c r="N54" i="24"/>
  <c r="N47" i="24"/>
  <c r="Q47" i="24" s="1"/>
  <c r="N43" i="24"/>
  <c r="N35" i="24"/>
  <c r="N72" i="24"/>
  <c r="Q69" i="24"/>
  <c r="Q66" i="24"/>
  <c r="Q63" i="24"/>
  <c r="Q52" i="24"/>
  <c r="P52" i="24"/>
  <c r="Q51" i="24"/>
  <c r="P51" i="24"/>
  <c r="Q50" i="24"/>
  <c r="P50" i="24"/>
  <c r="Q49" i="24"/>
  <c r="P49" i="24"/>
  <c r="Q46" i="24"/>
  <c r="P46" i="24"/>
  <c r="Q44" i="24"/>
  <c r="P44" i="24"/>
  <c r="Q41" i="24"/>
  <c r="P41" i="24"/>
  <c r="Q40" i="24"/>
  <c r="P40" i="24"/>
  <c r="Q39" i="24"/>
  <c r="P39" i="24"/>
  <c r="Q38" i="24"/>
  <c r="P38" i="24"/>
  <c r="Q34" i="24"/>
  <c r="P34" i="24"/>
  <c r="Q29" i="24"/>
  <c r="P29" i="24"/>
  <c r="Q24" i="24"/>
  <c r="P24" i="24"/>
  <c r="Q23" i="24"/>
  <c r="P23" i="24"/>
  <c r="Q19" i="24"/>
  <c r="P19" i="24"/>
  <c r="Q11" i="24"/>
  <c r="P11" i="24"/>
  <c r="Q10" i="24"/>
  <c r="P10" i="24"/>
  <c r="K28" i="24"/>
  <c r="L54" i="24"/>
  <c r="L43" i="24"/>
  <c r="K54" i="24"/>
  <c r="K43" i="24"/>
  <c r="K42" i="24"/>
  <c r="K35" i="24"/>
  <c r="D38" i="34"/>
  <c r="H37" i="12"/>
  <c r="D18" i="34"/>
  <c r="H17" i="12"/>
  <c r="I40" i="12"/>
  <c r="I54" i="12"/>
  <c r="I44" i="12"/>
  <c r="I41" i="12"/>
  <c r="I48" i="12"/>
  <c r="I36" i="12"/>
  <c r="I28" i="12"/>
  <c r="H60" i="3"/>
  <c r="H30" i="34"/>
  <c r="H29" i="34"/>
  <c r="D30" i="34"/>
  <c r="N26" i="24"/>
  <c r="K58" i="24"/>
  <c r="K59" i="24"/>
  <c r="K48" i="24"/>
  <c r="K26" i="24"/>
  <c r="K21" i="24"/>
  <c r="K17" i="24"/>
  <c r="H66" i="12"/>
  <c r="K60" i="3"/>
  <c r="H25" i="12"/>
  <c r="H40" i="12"/>
  <c r="N43" i="12"/>
  <c r="N46" i="12"/>
  <c r="M45" i="12"/>
  <c r="M46" i="12"/>
  <c r="H47" i="12"/>
  <c r="H44" i="12"/>
  <c r="H41" i="12"/>
  <c r="H53" i="12"/>
  <c r="H13" i="12"/>
  <c r="H14" i="12"/>
  <c r="H19" i="3"/>
  <c r="H12" i="12"/>
  <c r="H42" i="34"/>
  <c r="G47" i="34"/>
  <c r="N635" i="19"/>
  <c r="M635" i="19"/>
  <c r="J641" i="19"/>
  <c r="J640" i="19"/>
  <c r="F634" i="19"/>
  <c r="F635" i="19" s="1"/>
  <c r="F636" i="19" s="1"/>
  <c r="F14" i="15"/>
  <c r="B3053" i="19"/>
  <c r="B3052" i="19"/>
  <c r="B3051" i="19"/>
  <c r="B3050" i="19"/>
  <c r="B3049" i="19"/>
  <c r="B3048" i="19"/>
  <c r="B3047" i="19"/>
  <c r="B3046" i="19"/>
  <c r="B3045" i="19"/>
  <c r="B3044" i="19"/>
  <c r="B3043" i="19"/>
  <c r="B3042" i="19"/>
  <c r="B3041" i="19"/>
  <c r="B3040" i="19"/>
  <c r="B3039" i="19"/>
  <c r="B3038" i="19"/>
  <c r="B3037" i="19"/>
  <c r="B3036" i="19"/>
  <c r="B3035" i="19"/>
  <c r="B3034" i="19"/>
  <c r="B3033" i="19"/>
  <c r="B3032" i="19"/>
  <c r="B3031" i="19"/>
  <c r="B3030" i="19"/>
  <c r="B3029" i="19"/>
  <c r="B3028" i="19"/>
  <c r="B3027" i="19"/>
  <c r="B3026" i="19"/>
  <c r="B3025" i="19"/>
  <c r="B3024" i="19"/>
  <c r="B3023" i="19"/>
  <c r="B3022" i="19"/>
  <c r="B3021" i="19"/>
  <c r="B3020" i="19"/>
  <c r="B3019" i="19"/>
  <c r="B3018" i="19"/>
  <c r="B3017" i="19"/>
  <c r="B3016" i="19"/>
  <c r="B3015" i="19"/>
  <c r="B3014" i="19"/>
  <c r="B3013" i="19"/>
  <c r="B3012" i="19"/>
  <c r="B3011" i="19"/>
  <c r="B3010" i="19"/>
  <c r="B3009" i="19"/>
  <c r="B3008" i="19"/>
  <c r="B3007" i="19"/>
  <c r="B3006" i="19"/>
  <c r="B3005" i="19"/>
  <c r="B3004" i="19"/>
  <c r="B3003" i="19"/>
  <c r="B3002" i="19"/>
  <c r="B3001" i="19"/>
  <c r="B3000" i="19"/>
  <c r="B2999" i="19"/>
  <c r="B2998" i="19"/>
  <c r="B2997" i="19"/>
  <c r="B2996" i="19"/>
  <c r="B2995" i="19"/>
  <c r="B2994" i="19"/>
  <c r="B2993" i="19"/>
  <c r="B2992" i="19"/>
  <c r="B2991" i="19"/>
  <c r="B2990" i="19"/>
  <c r="B2989" i="19"/>
  <c r="B2988" i="19"/>
  <c r="B2987" i="19"/>
  <c r="B2986" i="19"/>
  <c r="B2985" i="19"/>
  <c r="B2984" i="19"/>
  <c r="B2983" i="19"/>
  <c r="B2982" i="19"/>
  <c r="B2981" i="19"/>
  <c r="B2980" i="19"/>
  <c r="B2979" i="19"/>
  <c r="B2978" i="19"/>
  <c r="B2977" i="19"/>
  <c r="B2976" i="19"/>
  <c r="B2975" i="19"/>
  <c r="B2974" i="19"/>
  <c r="B2973" i="19"/>
  <c r="B2972" i="19"/>
  <c r="B2971" i="19"/>
  <c r="B2970" i="19"/>
  <c r="B2969" i="19"/>
  <c r="B2968" i="19"/>
  <c r="B2967" i="19"/>
  <c r="B2966" i="19"/>
  <c r="B2965" i="19"/>
  <c r="B2964" i="19"/>
  <c r="B2963" i="19"/>
  <c r="B2962" i="19"/>
  <c r="B2961" i="19"/>
  <c r="B2960" i="19"/>
  <c r="B2959" i="19"/>
  <c r="B2958" i="19"/>
  <c r="B2957" i="19"/>
  <c r="B2956" i="19"/>
  <c r="B2955" i="19"/>
  <c r="B2954" i="19"/>
  <c r="B2953" i="19"/>
  <c r="B2952" i="19"/>
  <c r="B2951" i="19"/>
  <c r="B2950" i="19"/>
  <c r="B2949" i="19"/>
  <c r="B2948" i="19"/>
  <c r="B2947" i="19"/>
  <c r="B2946" i="19"/>
  <c r="B2945" i="19"/>
  <c r="B2944" i="19"/>
  <c r="B2943" i="19"/>
  <c r="B2942" i="19"/>
  <c r="B2941" i="19"/>
  <c r="B2940" i="19"/>
  <c r="B2939" i="19"/>
  <c r="B2938" i="19"/>
  <c r="B2937" i="19"/>
  <c r="B2936" i="19"/>
  <c r="B2935" i="19"/>
  <c r="B2934" i="19"/>
  <c r="B2933" i="19"/>
  <c r="B2932" i="19"/>
  <c r="B2931" i="19"/>
  <c r="B2930" i="19"/>
  <c r="B2929" i="19"/>
  <c r="L56" i="3"/>
  <c r="J56" i="3"/>
  <c r="K14" i="3"/>
  <c r="J59" i="3"/>
  <c r="D23" i="34"/>
  <c r="L55" i="3"/>
  <c r="K62" i="3"/>
  <c r="K20" i="24" s="1"/>
  <c r="P20" i="24" s="1"/>
  <c r="K52" i="3"/>
  <c r="I45" i="3"/>
  <c r="I44" i="3"/>
  <c r="K22" i="24" s="1"/>
  <c r="P22" i="24" s="1"/>
  <c r="I40" i="3"/>
  <c r="I46" i="3" s="1"/>
  <c r="K19" i="3"/>
  <c r="F16" i="34"/>
  <c r="E16" i="34"/>
  <c r="D16" i="34"/>
  <c r="I10" i="3"/>
  <c r="K10" i="3"/>
  <c r="D64" i="34"/>
  <c r="D65" i="34" s="1"/>
  <c r="D43" i="34"/>
  <c r="D47" i="34" s="1"/>
  <c r="H46" i="34"/>
  <c r="I46" i="5"/>
  <c r="I53" i="5"/>
  <c r="I23" i="5"/>
  <c r="K62" i="5"/>
  <c r="K65" i="5"/>
  <c r="K46" i="5"/>
  <c r="K53" i="5"/>
  <c r="K44" i="12"/>
  <c r="H48" i="12"/>
  <c r="K48" i="12"/>
  <c r="K47" i="12"/>
  <c r="K41" i="12"/>
  <c r="N23" i="12"/>
  <c r="M23" i="12"/>
  <c r="K20" i="12"/>
  <c r="K28" i="12" s="1"/>
  <c r="K8" i="12"/>
  <c r="E1672" i="37" l="1"/>
  <c r="D1672" i="37" s="1"/>
  <c r="D1671" i="37"/>
  <c r="E1934" i="37"/>
  <c r="D1934" i="37" s="1"/>
  <c r="D1933" i="37"/>
  <c r="E2012" i="37"/>
  <c r="D2012" i="37" s="1"/>
  <c r="D2011" i="37"/>
  <c r="G2288" i="37"/>
  <c r="D2287" i="37"/>
  <c r="E1799" i="37"/>
  <c r="D1799" i="37" s="1"/>
  <c r="D1798" i="37"/>
  <c r="D1167" i="37"/>
  <c r="F1168" i="37"/>
  <c r="E1696" i="37"/>
  <c r="D1696" i="37" s="1"/>
  <c r="D1695" i="37"/>
  <c r="F1177" i="37"/>
  <c r="D1176" i="37"/>
  <c r="E1973" i="37"/>
  <c r="D1973" i="37" s="1"/>
  <c r="D1972" i="37"/>
  <c r="E1677" i="37"/>
  <c r="D1676" i="37"/>
  <c r="D1158" i="37"/>
  <c r="F1159" i="37"/>
  <c r="F1160" i="37" s="1"/>
  <c r="E1596" i="37"/>
  <c r="D1595" i="37"/>
  <c r="E1767" i="37"/>
  <c r="D1766" i="37"/>
  <c r="E2020" i="37"/>
  <c r="D2020" i="37" s="1"/>
  <c r="D2019" i="37"/>
  <c r="E2043" i="37"/>
  <c r="D2042" i="37"/>
  <c r="E2114" i="37"/>
  <c r="D2114" i="37" s="1"/>
  <c r="D2113" i="37"/>
  <c r="F1138" i="37"/>
  <c r="D1138" i="37" s="1"/>
  <c r="E1166" i="37"/>
  <c r="D1166" i="37" s="1"/>
  <c r="E1483" i="37"/>
  <c r="D1483" i="37" s="1"/>
  <c r="E1488" i="37"/>
  <c r="E1610" i="37"/>
  <c r="D1610" i="37" s="1"/>
  <c r="E1733" i="37"/>
  <c r="D1733" i="37" s="1"/>
  <c r="E1812" i="37"/>
  <c r="E1817" i="37"/>
  <c r="E1822" i="37"/>
  <c r="E1906" i="37"/>
  <c r="E1958" i="37"/>
  <c r="D1958" i="37" s="1"/>
  <c r="E1998" i="37"/>
  <c r="E2107" i="37"/>
  <c r="D2107" i="37" s="1"/>
  <c r="E2149" i="37"/>
  <c r="D2149" i="37" s="1"/>
  <c r="E2194" i="37"/>
  <c r="D2194" i="37" s="1"/>
  <c r="E2212" i="37"/>
  <c r="E2277" i="37"/>
  <c r="D2277" i="37" s="1"/>
  <c r="P47" i="24"/>
  <c r="Q59" i="24"/>
  <c r="P59" i="24"/>
  <c r="Q17" i="24"/>
  <c r="P17" i="24"/>
  <c r="Q20" i="24"/>
  <c r="Q21" i="24"/>
  <c r="P21" i="24"/>
  <c r="Q26" i="24"/>
  <c r="P26" i="24"/>
  <c r="Q48" i="24"/>
  <c r="P48" i="24"/>
  <c r="Q42" i="24"/>
  <c r="P42" i="24"/>
  <c r="Q43" i="24"/>
  <c r="P43" i="24"/>
  <c r="N48" i="12"/>
  <c r="M44" i="12"/>
  <c r="H56" i="12"/>
  <c r="M47" i="12"/>
  <c r="M48" i="12"/>
  <c r="N47" i="12"/>
  <c r="H28" i="12"/>
  <c r="K56" i="12"/>
  <c r="F1161" i="37" l="1"/>
  <c r="D1161" i="37" s="1"/>
  <c r="D1160" i="37"/>
  <c r="D1998" i="37"/>
  <c r="E1999" i="37"/>
  <c r="D1999" i="37" s="1"/>
  <c r="E1678" i="37"/>
  <c r="D1678" i="37" s="1"/>
  <c r="D1677" i="37"/>
  <c r="D1812" i="37"/>
  <c r="E1813" i="37"/>
  <c r="D1813" i="37" s="1"/>
  <c r="D1177" i="37"/>
  <c r="F1178" i="37"/>
  <c r="D2288" i="37"/>
  <c r="G2289" i="37"/>
  <c r="D1906" i="37"/>
  <c r="E1907" i="37"/>
  <c r="D1907" i="37" s="1"/>
  <c r="D1168" i="37"/>
  <c r="F1169" i="37"/>
  <c r="E1597" i="37"/>
  <c r="D1597" i="37" s="1"/>
  <c r="D1596" i="37"/>
  <c r="E2044" i="37"/>
  <c r="D2043" i="37"/>
  <c r="D1159" i="37"/>
  <c r="D1488" i="37"/>
  <c r="E1489" i="37"/>
  <c r="D1489" i="37" s="1"/>
  <c r="D1822" i="37"/>
  <c r="E1823" i="37"/>
  <c r="D1823" i="37" s="1"/>
  <c r="D1767" i="37"/>
  <c r="E1768" i="37"/>
  <c r="D1768" i="37" s="1"/>
  <c r="D2212" i="37"/>
  <c r="E2213" i="37"/>
  <c r="D2213" i="37" s="1"/>
  <c r="D1817" i="37"/>
  <c r="E1818" i="37"/>
  <c r="D1818" i="37" s="1"/>
  <c r="AC56" i="12"/>
  <c r="B2928" i="19"/>
  <c r="B2927" i="19"/>
  <c r="B2926" i="19"/>
  <c r="B2925" i="19"/>
  <c r="B2924" i="19"/>
  <c r="B2923" i="19"/>
  <c r="B2922" i="19"/>
  <c r="B2921" i="19"/>
  <c r="B2920" i="19"/>
  <c r="B2919" i="19"/>
  <c r="B2918" i="19"/>
  <c r="B2917" i="19"/>
  <c r="B2916" i="19"/>
  <c r="B2915" i="19"/>
  <c r="B2914" i="19"/>
  <c r="B2913" i="19"/>
  <c r="B2912" i="19"/>
  <c r="B2911" i="19"/>
  <c r="B2910" i="19"/>
  <c r="B2909" i="19"/>
  <c r="B2908" i="19"/>
  <c r="B2907" i="19"/>
  <c r="B2906" i="19"/>
  <c r="B2905" i="19"/>
  <c r="B2904" i="19"/>
  <c r="B2903" i="19"/>
  <c r="B2902" i="19"/>
  <c r="B2901" i="19"/>
  <c r="B2900" i="19"/>
  <c r="B2899" i="19"/>
  <c r="B2898" i="19"/>
  <c r="B2897" i="19"/>
  <c r="B2896" i="19"/>
  <c r="B2895" i="19"/>
  <c r="B2894" i="19"/>
  <c r="B2893" i="19"/>
  <c r="B2892" i="19"/>
  <c r="B2891" i="19"/>
  <c r="B2890" i="19"/>
  <c r="B2889" i="19"/>
  <c r="B2888" i="19"/>
  <c r="B2887" i="19"/>
  <c r="B2886" i="19"/>
  <c r="B2885" i="19"/>
  <c r="B2884" i="19"/>
  <c r="B2883" i="19"/>
  <c r="B2882" i="19"/>
  <c r="B2881" i="19"/>
  <c r="B2880" i="19"/>
  <c r="B2879" i="19"/>
  <c r="B2878" i="19"/>
  <c r="B2877" i="19"/>
  <c r="B2876" i="19"/>
  <c r="B2875" i="19"/>
  <c r="B2874" i="19"/>
  <c r="B2873" i="19"/>
  <c r="B2872" i="19"/>
  <c r="B2871" i="19"/>
  <c r="B2870" i="19"/>
  <c r="B2869" i="19"/>
  <c r="B2868" i="19"/>
  <c r="B2867" i="19"/>
  <c r="B2866" i="19"/>
  <c r="B2865" i="19"/>
  <c r="B2864" i="19"/>
  <c r="B2863" i="19"/>
  <c r="B2862" i="19"/>
  <c r="B2861" i="19"/>
  <c r="B2860" i="19"/>
  <c r="B2859" i="19"/>
  <c r="B2858" i="19"/>
  <c r="B2857" i="19"/>
  <c r="B2856" i="19"/>
  <c r="B2855" i="19"/>
  <c r="B2854" i="19"/>
  <c r="B2853" i="19"/>
  <c r="B2852" i="19"/>
  <c r="B2851" i="19"/>
  <c r="B2850" i="19"/>
  <c r="B2849" i="19"/>
  <c r="B2848" i="19"/>
  <c r="B2847" i="19"/>
  <c r="B2846" i="19"/>
  <c r="B2845" i="19"/>
  <c r="B2844" i="19"/>
  <c r="B2843" i="19"/>
  <c r="B2842" i="19"/>
  <c r="B2841" i="19"/>
  <c r="B2840" i="19"/>
  <c r="B2839" i="19"/>
  <c r="B2838" i="19"/>
  <c r="B2837" i="19"/>
  <c r="B2836" i="19"/>
  <c r="B2835" i="19"/>
  <c r="B2834" i="19"/>
  <c r="B2833" i="19"/>
  <c r="B2832" i="19"/>
  <c r="B2831" i="19"/>
  <c r="B2830" i="19"/>
  <c r="B2829" i="19"/>
  <c r="B2828" i="19"/>
  <c r="B2827" i="19"/>
  <c r="B2826" i="19"/>
  <c r="B2825" i="19"/>
  <c r="B2824" i="19"/>
  <c r="B2823" i="19"/>
  <c r="B2822" i="19"/>
  <c r="B2821" i="19"/>
  <c r="B2820" i="19"/>
  <c r="B2819" i="19"/>
  <c r="B2818" i="19"/>
  <c r="B2817" i="19"/>
  <c r="B2816" i="19"/>
  <c r="B2815" i="19"/>
  <c r="B2814" i="19"/>
  <c r="B2813" i="19"/>
  <c r="B2812" i="19"/>
  <c r="B2811" i="19"/>
  <c r="B2810" i="19"/>
  <c r="B2809" i="19"/>
  <c r="B2808" i="19"/>
  <c r="B2807" i="19"/>
  <c r="B2806" i="19"/>
  <c r="B2805" i="19"/>
  <c r="B2804" i="19"/>
  <c r="B2803" i="19"/>
  <c r="B2802" i="19"/>
  <c r="B2801" i="19"/>
  <c r="B2800" i="19"/>
  <c r="B2799" i="19"/>
  <c r="B2798" i="19"/>
  <c r="B2797" i="19"/>
  <c r="B2796" i="19"/>
  <c r="B2795" i="19"/>
  <c r="B2794" i="19"/>
  <c r="B2793" i="19"/>
  <c r="B2792" i="19"/>
  <c r="B2791" i="19"/>
  <c r="B2790" i="19"/>
  <c r="B2789" i="19"/>
  <c r="B2788" i="19"/>
  <c r="B2787" i="19"/>
  <c r="B2786" i="19"/>
  <c r="B2785" i="19"/>
  <c r="B2784" i="19"/>
  <c r="B2783" i="19"/>
  <c r="B2782" i="19"/>
  <c r="B2781" i="19"/>
  <c r="B2780" i="19"/>
  <c r="B2779" i="19"/>
  <c r="B2778" i="19"/>
  <c r="B2777" i="19"/>
  <c r="B2776" i="19"/>
  <c r="B2775" i="19"/>
  <c r="B2774" i="19"/>
  <c r="B2773" i="19"/>
  <c r="B2772" i="19"/>
  <c r="B2771" i="19"/>
  <c r="B2770" i="19"/>
  <c r="B2769" i="19"/>
  <c r="B2768" i="19"/>
  <c r="B2767" i="19"/>
  <c r="B2766" i="19"/>
  <c r="B2765" i="19"/>
  <c r="B2764" i="19"/>
  <c r="B2763" i="19"/>
  <c r="B2762" i="19"/>
  <c r="B2761" i="19"/>
  <c r="B2760" i="19"/>
  <c r="B2759" i="19"/>
  <c r="B2758" i="19"/>
  <c r="B2757" i="19"/>
  <c r="B2756" i="19"/>
  <c r="B2755" i="19"/>
  <c r="B2754" i="19"/>
  <c r="B2753" i="19"/>
  <c r="B2752" i="19"/>
  <c r="B2751" i="19"/>
  <c r="B2750" i="19"/>
  <c r="B2749" i="19"/>
  <c r="B2748" i="19"/>
  <c r="B2747" i="19"/>
  <c r="B2746" i="19"/>
  <c r="B2745" i="19"/>
  <c r="B2744" i="19"/>
  <c r="B2743" i="19"/>
  <c r="B2742" i="19"/>
  <c r="B2741" i="19"/>
  <c r="B2740" i="19"/>
  <c r="B2739" i="19"/>
  <c r="B2738" i="19"/>
  <c r="B2737" i="19"/>
  <c r="B2736" i="19"/>
  <c r="B2735" i="19"/>
  <c r="B2734" i="19"/>
  <c r="B2733" i="19"/>
  <c r="B2732" i="19"/>
  <c r="B2731" i="19"/>
  <c r="B2730" i="19"/>
  <c r="B2729" i="19"/>
  <c r="B2728" i="19"/>
  <c r="B2727" i="19"/>
  <c r="B2726" i="19"/>
  <c r="B2725" i="19"/>
  <c r="B2724" i="19"/>
  <c r="B2723" i="19"/>
  <c r="B2722" i="19"/>
  <c r="B2721" i="19"/>
  <c r="B2720" i="19"/>
  <c r="B2719" i="19"/>
  <c r="B2718" i="19"/>
  <c r="B2717" i="19"/>
  <c r="B2716" i="19"/>
  <c r="B2715" i="19"/>
  <c r="B2714" i="19"/>
  <c r="B2713" i="19"/>
  <c r="B2712" i="19"/>
  <c r="B2711" i="19"/>
  <c r="B2710" i="19"/>
  <c r="B2709" i="19"/>
  <c r="B2708" i="19"/>
  <c r="B2707" i="19"/>
  <c r="B2706" i="19"/>
  <c r="B2705" i="19"/>
  <c r="B2704" i="19"/>
  <c r="B2703" i="19"/>
  <c r="B2702" i="19"/>
  <c r="B2701" i="19"/>
  <c r="B2700" i="19"/>
  <c r="B2699" i="19"/>
  <c r="B2698" i="19"/>
  <c r="B2697" i="19"/>
  <c r="B2696" i="19"/>
  <c r="B2695" i="19"/>
  <c r="B2694" i="19"/>
  <c r="B2693" i="19"/>
  <c r="B2692" i="19"/>
  <c r="B2691" i="19"/>
  <c r="B2690" i="19"/>
  <c r="B2689" i="19"/>
  <c r="B2688" i="19"/>
  <c r="B2687" i="19"/>
  <c r="B2686" i="19"/>
  <c r="B2685" i="19"/>
  <c r="B2684" i="19"/>
  <c r="B2683" i="19"/>
  <c r="B2682" i="19"/>
  <c r="B2681" i="19"/>
  <c r="B2680" i="19"/>
  <c r="B2679" i="19"/>
  <c r="B2678" i="19"/>
  <c r="B2677" i="19"/>
  <c r="B2676" i="19"/>
  <c r="B2675" i="19"/>
  <c r="B2674" i="19"/>
  <c r="B2673" i="19"/>
  <c r="B2672" i="19"/>
  <c r="B2671" i="19"/>
  <c r="B2670" i="19"/>
  <c r="B2669" i="19"/>
  <c r="B2668" i="19"/>
  <c r="B2667" i="19"/>
  <c r="B2666" i="19"/>
  <c r="B2665" i="19"/>
  <c r="B2664" i="19"/>
  <c r="B2663" i="19"/>
  <c r="B2662" i="19"/>
  <c r="B2661" i="19"/>
  <c r="B2660" i="19"/>
  <c r="B2659" i="19"/>
  <c r="B2658" i="19"/>
  <c r="B2657" i="19"/>
  <c r="B2656" i="19"/>
  <c r="B2655" i="19"/>
  <c r="B2654" i="19"/>
  <c r="B2653" i="19"/>
  <c r="B2652" i="19"/>
  <c r="B2651" i="19"/>
  <c r="B2650" i="19"/>
  <c r="B2649" i="19"/>
  <c r="B2648" i="19"/>
  <c r="D1169" i="37" l="1"/>
  <c r="F1170" i="37"/>
  <c r="G2290" i="37"/>
  <c r="D2289" i="37"/>
  <c r="E2045" i="37"/>
  <c r="D2045" i="37" s="1"/>
  <c r="D2044" i="37"/>
  <c r="F1179" i="37"/>
  <c r="D1179" i="37" s="1"/>
  <c r="D1178" i="37"/>
  <c r="M16" i="12"/>
  <c r="N55" i="12"/>
  <c r="M55" i="12"/>
  <c r="N54" i="12"/>
  <c r="M54" i="12"/>
  <c r="N49" i="12"/>
  <c r="M49" i="12"/>
  <c r="N42" i="12"/>
  <c r="M42" i="12"/>
  <c r="N51" i="12"/>
  <c r="M51" i="12"/>
  <c r="N39" i="12"/>
  <c r="M39" i="12"/>
  <c r="M43" i="12"/>
  <c r="N45" i="12"/>
  <c r="N38" i="12"/>
  <c r="M38" i="12"/>
  <c r="N36" i="12"/>
  <c r="M36" i="12"/>
  <c r="N52" i="12"/>
  <c r="M52" i="12"/>
  <c r="N53" i="12"/>
  <c r="M53" i="12"/>
  <c r="N37" i="12"/>
  <c r="M37" i="12"/>
  <c r="N35" i="12"/>
  <c r="M35" i="12"/>
  <c r="N44" i="12"/>
  <c r="N34" i="12"/>
  <c r="M34" i="12"/>
  <c r="N33" i="12"/>
  <c r="M33" i="12"/>
  <c r="N29" i="12"/>
  <c r="M29" i="12"/>
  <c r="N26" i="12"/>
  <c r="M26" i="12"/>
  <c r="N19" i="12"/>
  <c r="M19" i="12"/>
  <c r="N27" i="12"/>
  <c r="M27" i="12"/>
  <c r="N25" i="12"/>
  <c r="M25" i="12"/>
  <c r="N24" i="12"/>
  <c r="M24" i="12"/>
  <c r="N22" i="12"/>
  <c r="M22" i="12"/>
  <c r="N20" i="12"/>
  <c r="M20" i="12"/>
  <c r="N18" i="12"/>
  <c r="M18" i="12"/>
  <c r="N17" i="12"/>
  <c r="M17" i="12"/>
  <c r="M14" i="12"/>
  <c r="N13" i="12"/>
  <c r="M13" i="12"/>
  <c r="N9" i="12"/>
  <c r="M9" i="12"/>
  <c r="M10" i="12"/>
  <c r="N10" i="12"/>
  <c r="B2639" i="19"/>
  <c r="B2640" i="19"/>
  <c r="B2641" i="19"/>
  <c r="B2642" i="19"/>
  <c r="B2643" i="19"/>
  <c r="B2644" i="19"/>
  <c r="B2645" i="19"/>
  <c r="B2646" i="19"/>
  <c r="B2647" i="19"/>
  <c r="B2634" i="19"/>
  <c r="F111" i="15"/>
  <c r="L54" i="3"/>
  <c r="H63" i="15"/>
  <c r="H64" i="15" s="1"/>
  <c r="D2290" i="37" l="1"/>
  <c r="G2291" i="37"/>
  <c r="D2291" i="37" s="1"/>
  <c r="F1171" i="37"/>
  <c r="D1171" i="37" s="1"/>
  <c r="D1170" i="37"/>
  <c r="N16" i="12"/>
  <c r="J16" i="3" l="1"/>
  <c r="J21" i="3" s="1"/>
  <c r="L59" i="24"/>
  <c r="J45" i="3" l="1"/>
  <c r="H44" i="3"/>
  <c r="G98" i="15"/>
  <c r="H62" i="12"/>
  <c r="AB12" i="12"/>
  <c r="N41" i="12" l="1"/>
  <c r="M41" i="12"/>
  <c r="N62" i="12"/>
  <c r="M62" i="12"/>
  <c r="N21" i="12"/>
  <c r="M21" i="12"/>
  <c r="M50" i="12"/>
  <c r="N50" i="12"/>
  <c r="N40" i="12"/>
  <c r="M40" i="12"/>
  <c r="M12" i="12"/>
  <c r="N12" i="12"/>
  <c r="J44" i="3"/>
  <c r="I62" i="5"/>
  <c r="G111" i="15" l="1"/>
  <c r="K13" i="3" l="1"/>
  <c r="K7" i="3"/>
  <c r="G30" i="34" l="1"/>
  <c r="F35" i="34"/>
  <c r="D35" i="34"/>
  <c r="H23" i="34"/>
  <c r="H15" i="34"/>
  <c r="I14" i="3" s="1"/>
  <c r="H14" i="3" s="1"/>
  <c r="K77" i="24"/>
  <c r="K80" i="24" s="1"/>
  <c r="K15" i="3"/>
  <c r="I15" i="3" l="1"/>
  <c r="F16" i="15"/>
  <c r="L72" i="24"/>
  <c r="H15" i="3" l="1"/>
  <c r="J27" i="36"/>
  <c r="P27" i="36" s="1"/>
  <c r="O54" i="36"/>
  <c r="O53" i="36"/>
  <c r="O52" i="36"/>
  <c r="O51" i="36"/>
  <c r="O50" i="36"/>
  <c r="O49" i="36"/>
  <c r="O48" i="36"/>
  <c r="O46" i="36"/>
  <c r="O45" i="36"/>
  <c r="O44" i="36"/>
  <c r="O43" i="36"/>
  <c r="O42" i="36"/>
  <c r="O41" i="36"/>
  <c r="O40" i="36"/>
  <c r="O39" i="36"/>
  <c r="O38" i="36"/>
  <c r="O37" i="36"/>
  <c r="O36" i="36"/>
  <c r="O35" i="36"/>
  <c r="O33" i="36"/>
  <c r="P34" i="36"/>
  <c r="P33" i="36"/>
  <c r="P32" i="36"/>
  <c r="O32" i="36"/>
  <c r="O26" i="36"/>
  <c r="O25" i="36"/>
  <c r="O24" i="36"/>
  <c r="O23" i="36"/>
  <c r="O22" i="36"/>
  <c r="O21" i="36"/>
  <c r="O20" i="36"/>
  <c r="O19" i="36"/>
  <c r="O18" i="36"/>
  <c r="O17" i="36"/>
  <c r="O16" i="36"/>
  <c r="O15" i="36"/>
  <c r="O14" i="36"/>
  <c r="O13" i="36"/>
  <c r="O12" i="36"/>
  <c r="O11" i="36"/>
  <c r="O10" i="36"/>
  <c r="P54" i="36"/>
  <c r="P53" i="36"/>
  <c r="P52" i="36"/>
  <c r="P51" i="36"/>
  <c r="P50" i="36"/>
  <c r="P49" i="36"/>
  <c r="P48" i="36"/>
  <c r="P47" i="36"/>
  <c r="P46" i="36"/>
  <c r="P45" i="36"/>
  <c r="P44" i="36"/>
  <c r="P43" i="36"/>
  <c r="P42" i="36"/>
  <c r="P41" i="36"/>
  <c r="P40" i="36"/>
  <c r="P39" i="36"/>
  <c r="P38" i="36"/>
  <c r="P37" i="36"/>
  <c r="P35" i="36"/>
  <c r="P28" i="36"/>
  <c r="P26" i="36"/>
  <c r="P25" i="36"/>
  <c r="P24" i="36"/>
  <c r="P23" i="36"/>
  <c r="P22" i="36"/>
  <c r="P21" i="36"/>
  <c r="P20" i="36"/>
  <c r="P19" i="36"/>
  <c r="P17" i="36"/>
  <c r="P16" i="36"/>
  <c r="P15" i="36"/>
  <c r="P14" i="36"/>
  <c r="P11" i="36"/>
  <c r="P10" i="36"/>
  <c r="P9" i="36"/>
  <c r="O9" i="36"/>
  <c r="O28" i="36"/>
  <c r="J36" i="36"/>
  <c r="P36" i="36" s="1"/>
  <c r="I47" i="36"/>
  <c r="I55" i="36" s="1"/>
  <c r="I29" i="36"/>
  <c r="H29" i="36"/>
  <c r="N53" i="36"/>
  <c r="N52" i="36"/>
  <c r="N51" i="36"/>
  <c r="N50" i="36"/>
  <c r="N49" i="36"/>
  <c r="N48" i="36"/>
  <c r="M47" i="36"/>
  <c r="J47" i="36"/>
  <c r="O47" i="36" s="1"/>
  <c r="H47" i="36"/>
  <c r="H55" i="36" s="1"/>
  <c r="N46" i="36"/>
  <c r="L46" i="36"/>
  <c r="J46" i="36"/>
  <c r="N45" i="36"/>
  <c r="N44" i="36"/>
  <c r="N43" i="36"/>
  <c r="N42" i="36"/>
  <c r="N41" i="36"/>
  <c r="M40" i="36"/>
  <c r="N40" i="36" s="1"/>
  <c r="L40" i="36"/>
  <c r="J40" i="36"/>
  <c r="N39" i="36"/>
  <c r="N38" i="36"/>
  <c r="N54" i="36"/>
  <c r="N37" i="36"/>
  <c r="M36" i="36"/>
  <c r="N36" i="36" s="1"/>
  <c r="N35" i="36"/>
  <c r="M34" i="36"/>
  <c r="L34" i="36"/>
  <c r="J34" i="36"/>
  <c r="O34" i="36" s="1"/>
  <c r="N33" i="36"/>
  <c r="N32" i="36"/>
  <c r="M29" i="36"/>
  <c r="N28" i="36"/>
  <c r="L28" i="36"/>
  <c r="L47" i="36" s="1"/>
  <c r="N24" i="36"/>
  <c r="N23" i="36"/>
  <c r="N22" i="36"/>
  <c r="N20" i="36"/>
  <c r="N19" i="36"/>
  <c r="N17" i="36"/>
  <c r="N16" i="36"/>
  <c r="L15" i="36"/>
  <c r="N14" i="36"/>
  <c r="N12" i="36"/>
  <c r="L11" i="36"/>
  <c r="N10" i="36"/>
  <c r="N9" i="36"/>
  <c r="L8" i="36"/>
  <c r="O27" i="36" l="1"/>
  <c r="H57" i="36"/>
  <c r="J29" i="36"/>
  <c r="I57" i="36"/>
  <c r="J55" i="36"/>
  <c r="L29" i="36"/>
  <c r="M57" i="36"/>
  <c r="N21" i="36"/>
  <c r="N15" i="36"/>
  <c r="N11" i="36"/>
  <c r="N18" i="36"/>
  <c r="N47" i="36"/>
  <c r="N34" i="36"/>
  <c r="S25" i="12"/>
  <c r="P10" i="12"/>
  <c r="H111" i="15"/>
  <c r="G100" i="15"/>
  <c r="G91" i="15"/>
  <c r="G90" i="15"/>
  <c r="H90" i="15" s="1"/>
  <c r="F107" i="15"/>
  <c r="J57" i="36" l="1"/>
  <c r="O55" i="36"/>
  <c r="P55" i="36"/>
  <c r="P57" i="36"/>
  <c r="O57" i="36"/>
  <c r="P29" i="36"/>
  <c r="O29" i="36"/>
  <c r="L57" i="36"/>
  <c r="N29" i="36"/>
  <c r="E100" i="15"/>
  <c r="H100" i="15" s="1"/>
  <c r="E98" i="15"/>
  <c r="H98" i="15" l="1"/>
  <c r="E91" i="15"/>
  <c r="H91" i="15" s="1"/>
  <c r="J634" i="19"/>
  <c r="J635" i="19" s="1"/>
  <c r="J636" i="19" s="1"/>
  <c r="J637" i="19" s="1"/>
  <c r="J638" i="19" s="1"/>
  <c r="J639" i="19" s="1"/>
  <c r="F637" i="19"/>
  <c r="F638" i="19" s="1"/>
  <c r="B2523" i="19"/>
  <c r="B2524" i="19"/>
  <c r="B2525" i="19"/>
  <c r="B2526" i="19"/>
  <c r="B2527" i="19"/>
  <c r="B2528" i="19"/>
  <c r="B2529" i="19"/>
  <c r="B2530" i="19"/>
  <c r="B2531" i="19"/>
  <c r="B2532" i="19"/>
  <c r="B2533" i="19"/>
  <c r="B2534" i="19"/>
  <c r="B2535" i="19"/>
  <c r="B2536" i="19"/>
  <c r="B2537" i="19"/>
  <c r="B2538" i="19"/>
  <c r="B2539" i="19"/>
  <c r="B2540" i="19"/>
  <c r="B2541" i="19"/>
  <c r="B2542" i="19"/>
  <c r="B2543" i="19"/>
  <c r="B2544" i="19"/>
  <c r="B2545" i="19"/>
  <c r="B2546" i="19"/>
  <c r="B2547" i="19"/>
  <c r="B2548" i="19"/>
  <c r="B2549" i="19"/>
  <c r="B2550" i="19"/>
  <c r="B2551" i="19"/>
  <c r="B2552" i="19"/>
  <c r="B2553" i="19"/>
  <c r="B2554" i="19"/>
  <c r="B2555" i="19"/>
  <c r="B2556" i="19"/>
  <c r="B2557" i="19"/>
  <c r="B2558" i="19"/>
  <c r="B2559" i="19"/>
  <c r="B2560" i="19"/>
  <c r="B2561" i="19"/>
  <c r="B2562" i="19"/>
  <c r="B2563" i="19"/>
  <c r="B2564" i="19"/>
  <c r="B2565" i="19"/>
  <c r="B2566" i="19"/>
  <c r="B2567" i="19"/>
  <c r="B2568" i="19"/>
  <c r="B2569" i="19"/>
  <c r="B2570" i="19"/>
  <c r="B2571" i="19"/>
  <c r="B2572" i="19"/>
  <c r="B2573" i="19"/>
  <c r="B2574" i="19"/>
  <c r="B2575" i="19"/>
  <c r="B2576" i="19"/>
  <c r="B2577" i="19"/>
  <c r="B2578" i="19"/>
  <c r="B2579" i="19"/>
  <c r="B2580" i="19"/>
  <c r="B2581" i="19"/>
  <c r="B2582" i="19"/>
  <c r="B2583" i="19"/>
  <c r="B2584" i="19"/>
  <c r="B2585" i="19"/>
  <c r="B2586" i="19"/>
  <c r="B2587" i="19"/>
  <c r="B2588" i="19"/>
  <c r="B2589" i="19"/>
  <c r="B2590" i="19"/>
  <c r="B2591" i="19"/>
  <c r="B2592" i="19"/>
  <c r="B2593" i="19"/>
  <c r="B2594" i="19"/>
  <c r="B2595" i="19"/>
  <c r="B2596" i="19"/>
  <c r="B2597" i="19"/>
  <c r="B2598" i="19"/>
  <c r="B2599" i="19"/>
  <c r="B2600" i="19"/>
  <c r="B2601" i="19"/>
  <c r="B2602" i="19"/>
  <c r="B2603" i="19"/>
  <c r="B2604" i="19"/>
  <c r="B2605" i="19"/>
  <c r="B2606" i="19"/>
  <c r="B2607" i="19"/>
  <c r="B2608" i="19"/>
  <c r="B2609" i="19"/>
  <c r="B2610" i="19"/>
  <c r="B2611" i="19"/>
  <c r="B2612" i="19"/>
  <c r="B2613" i="19"/>
  <c r="B2614" i="19"/>
  <c r="B2615" i="19"/>
  <c r="B2616" i="19"/>
  <c r="B2617" i="19"/>
  <c r="B2618" i="19"/>
  <c r="B2619" i="19"/>
  <c r="B2620" i="19"/>
  <c r="B2621" i="19"/>
  <c r="B2622" i="19"/>
  <c r="B2623" i="19"/>
  <c r="B2624" i="19"/>
  <c r="B2625" i="19"/>
  <c r="B2626" i="19"/>
  <c r="B2627" i="19"/>
  <c r="B2628" i="19"/>
  <c r="B2629" i="19"/>
  <c r="B2630" i="19"/>
  <c r="B2631" i="19"/>
  <c r="B2632" i="19"/>
  <c r="B2633" i="19"/>
  <c r="B2635" i="19"/>
  <c r="B2636" i="19"/>
  <c r="B2637" i="19"/>
  <c r="B2638" i="19"/>
  <c r="H2928" i="19" l="1"/>
  <c r="L47" i="24"/>
  <c r="L49" i="24"/>
  <c r="L50" i="24"/>
  <c r="L46" i="24"/>
  <c r="L45" i="24"/>
  <c r="L51" i="24"/>
  <c r="L35" i="24"/>
  <c r="K18" i="24"/>
  <c r="K14" i="24"/>
  <c r="L37" i="12"/>
  <c r="L48" i="12"/>
  <c r="L41" i="12"/>
  <c r="L44" i="12"/>
  <c r="L66" i="12"/>
  <c r="L65" i="12"/>
  <c r="L64" i="12"/>
  <c r="L28" i="12"/>
  <c r="L30" i="12" s="1"/>
  <c r="R30" i="12" s="1"/>
  <c r="I47" i="12"/>
  <c r="I56" i="12" s="1"/>
  <c r="Y56" i="12" s="1"/>
  <c r="H63" i="12"/>
  <c r="G107" i="15"/>
  <c r="H107" i="15" s="1"/>
  <c r="P14" i="24" l="1"/>
  <c r="Q14" i="24"/>
  <c r="Q18" i="24"/>
  <c r="P18" i="24"/>
  <c r="N63" i="12"/>
  <c r="M63" i="12"/>
  <c r="L67" i="12"/>
  <c r="L56" i="12"/>
  <c r="J37" i="3"/>
  <c r="L58" i="12" l="1"/>
  <c r="L69" i="12" s="1"/>
  <c r="L72" i="12" s="1"/>
  <c r="G94" i="15" l="1"/>
  <c r="H94" i="15" s="1"/>
  <c r="H36" i="3"/>
  <c r="J36" i="3" s="1"/>
  <c r="L36" i="3" s="1"/>
  <c r="H34" i="3"/>
  <c r="H46" i="3" s="1"/>
  <c r="M64" i="5" l="1"/>
  <c r="M63" i="5"/>
  <c r="M62" i="5"/>
  <c r="M47" i="5"/>
  <c r="G8" i="3" l="1"/>
  <c r="K8" i="3" s="1"/>
  <c r="H198" i="34"/>
  <c r="E196" i="34"/>
  <c r="E195" i="34"/>
  <c r="G194" i="34"/>
  <c r="G198" i="34" s="1"/>
  <c r="E194" i="34"/>
  <c r="D120" i="34"/>
  <c r="H51" i="34"/>
  <c r="H50" i="34"/>
  <c r="H49" i="34"/>
  <c r="F47" i="34"/>
  <c r="E47" i="34"/>
  <c r="H45" i="34"/>
  <c r="H44" i="34"/>
  <c r="I11" i="3" s="1"/>
  <c r="H43" i="34"/>
  <c r="F13" i="15" s="1"/>
  <c r="H41" i="34"/>
  <c r="H40" i="34"/>
  <c r="H39" i="34"/>
  <c r="H38" i="34"/>
  <c r="I16" i="3" s="1"/>
  <c r="H16" i="3" s="1"/>
  <c r="G35" i="34"/>
  <c r="E35" i="34"/>
  <c r="E53" i="34" s="1"/>
  <c r="H34" i="34"/>
  <c r="F30" i="34"/>
  <c r="F53" i="34" s="1"/>
  <c r="E30" i="34"/>
  <c r="D53" i="34"/>
  <c r="H28" i="34"/>
  <c r="H25" i="34"/>
  <c r="H21" i="34"/>
  <c r="I20" i="3" s="1"/>
  <c r="H20" i="34"/>
  <c r="H18" i="34"/>
  <c r="J55" i="3" s="1"/>
  <c r="G16" i="34"/>
  <c r="H14" i="34"/>
  <c r="I13" i="3" s="1"/>
  <c r="H13" i="3" s="1"/>
  <c r="H13" i="34"/>
  <c r="H12" i="34"/>
  <c r="H9" i="34"/>
  <c r="J52" i="3" s="1"/>
  <c r="H7" i="34"/>
  <c r="G53" i="34" l="1"/>
  <c r="D197" i="34" s="1"/>
  <c r="H47" i="34"/>
  <c r="I19" i="3"/>
  <c r="F17" i="15"/>
  <c r="F12" i="15"/>
  <c r="H16" i="34"/>
  <c r="F15" i="15" s="1"/>
  <c r="J54" i="3"/>
  <c r="E198" i="34"/>
  <c r="D196" i="34"/>
  <c r="H33" i="34"/>
  <c r="I17" i="3"/>
  <c r="D194" i="34"/>
  <c r="I9" i="3"/>
  <c r="D195" i="34"/>
  <c r="U72" i="33"/>
  <c r="J72" i="33"/>
  <c r="T60" i="33"/>
  <c r="U60" i="33"/>
  <c r="M60" i="33"/>
  <c r="T59" i="33"/>
  <c r="U59" i="33"/>
  <c r="J59" i="33"/>
  <c r="T55" i="33"/>
  <c r="M55" i="33"/>
  <c r="K55" i="33"/>
  <c r="J55" i="33"/>
  <c r="T54" i="33"/>
  <c r="T53" i="33"/>
  <c r="U53" i="33"/>
  <c r="J53" i="33"/>
  <c r="O53" i="33" s="1"/>
  <c r="T52" i="33"/>
  <c r="P52" i="33"/>
  <c r="O52" i="33"/>
  <c r="T51" i="33"/>
  <c r="J51" i="33"/>
  <c r="O51" i="33" s="1"/>
  <c r="T50" i="33"/>
  <c r="U50" i="33"/>
  <c r="P50" i="33"/>
  <c r="O50" i="33"/>
  <c r="T49" i="33"/>
  <c r="K49" i="33"/>
  <c r="J49" i="33"/>
  <c r="T48" i="33"/>
  <c r="J48" i="33"/>
  <c r="O48" i="33" s="1"/>
  <c r="T47" i="33"/>
  <c r="P47" i="33"/>
  <c r="O47" i="33"/>
  <c r="T46" i="33"/>
  <c r="M46" i="33"/>
  <c r="K46" i="33"/>
  <c r="P46" i="33" s="1"/>
  <c r="T45" i="33"/>
  <c r="U45" i="33"/>
  <c r="P45" i="33"/>
  <c r="O45" i="33"/>
  <c r="T44" i="33"/>
  <c r="U44" i="33"/>
  <c r="P44" i="33"/>
  <c r="O44" i="33"/>
  <c r="T43" i="33"/>
  <c r="T42" i="33"/>
  <c r="K42" i="33"/>
  <c r="K60" i="33" s="1"/>
  <c r="J42" i="33"/>
  <c r="U41" i="33"/>
  <c r="P41" i="33"/>
  <c r="O41" i="33"/>
  <c r="U40" i="33"/>
  <c r="P40" i="33"/>
  <c r="O40" i="33"/>
  <c r="P39" i="33"/>
  <c r="O39" i="33"/>
  <c r="U38" i="33"/>
  <c r="P38" i="33"/>
  <c r="O38" i="33"/>
  <c r="T37" i="33"/>
  <c r="O37" i="33"/>
  <c r="P36" i="33"/>
  <c r="O36" i="33"/>
  <c r="M35" i="33"/>
  <c r="M36" i="33" s="1"/>
  <c r="K35" i="33"/>
  <c r="J35" i="33"/>
  <c r="U34" i="33"/>
  <c r="P34" i="33"/>
  <c r="O34" i="33"/>
  <c r="T33" i="33"/>
  <c r="T29" i="33"/>
  <c r="P29" i="33"/>
  <c r="O29" i="33"/>
  <c r="T28" i="33"/>
  <c r="J28" i="33"/>
  <c r="T26" i="33"/>
  <c r="K26" i="33"/>
  <c r="K43" i="33" s="1"/>
  <c r="J26" i="33"/>
  <c r="T25" i="33"/>
  <c r="O25" i="33"/>
  <c r="T24" i="33"/>
  <c r="P24" i="33"/>
  <c r="O24" i="33"/>
  <c r="T23" i="33"/>
  <c r="P23" i="33"/>
  <c r="O23" i="33"/>
  <c r="T22" i="33"/>
  <c r="T21" i="33"/>
  <c r="J21" i="33"/>
  <c r="T20" i="33"/>
  <c r="J20" i="33"/>
  <c r="T19" i="33"/>
  <c r="P19" i="33"/>
  <c r="O19" i="33"/>
  <c r="T18" i="33"/>
  <c r="U18" i="33"/>
  <c r="P18" i="33"/>
  <c r="O18" i="33"/>
  <c r="T17" i="33"/>
  <c r="J17" i="33"/>
  <c r="P17" i="33" s="1"/>
  <c r="T16" i="33"/>
  <c r="J16" i="33"/>
  <c r="T15" i="33"/>
  <c r="J14" i="33"/>
  <c r="J13" i="33"/>
  <c r="T12" i="33"/>
  <c r="T11" i="33"/>
  <c r="U11" i="33"/>
  <c r="P11" i="33"/>
  <c r="O11" i="33"/>
  <c r="T10" i="33"/>
  <c r="J10" i="33"/>
  <c r="T9" i="33"/>
  <c r="M9" i="33"/>
  <c r="M70" i="33" s="1"/>
  <c r="K9" i="33"/>
  <c r="J9" i="33"/>
  <c r="A3" i="33"/>
  <c r="T19" i="24"/>
  <c r="U9" i="33" l="1"/>
  <c r="M54" i="3"/>
  <c r="J65" i="3"/>
  <c r="H35" i="34"/>
  <c r="H53" i="34" s="1"/>
  <c r="D198" i="34"/>
  <c r="P53" i="33"/>
  <c r="U55" i="33"/>
  <c r="O59" i="33"/>
  <c r="J43" i="33"/>
  <c r="O43" i="33" s="1"/>
  <c r="K27" i="33"/>
  <c r="K30" i="33" s="1"/>
  <c r="O26" i="33"/>
  <c r="P26" i="33"/>
  <c r="U26" i="33"/>
  <c r="O14" i="33"/>
  <c r="O21" i="33"/>
  <c r="P14" i="33"/>
  <c r="O55" i="33"/>
  <c r="P55" i="33"/>
  <c r="O17" i="33"/>
  <c r="P48" i="33"/>
  <c r="O49" i="33"/>
  <c r="P51" i="33"/>
  <c r="P13" i="33"/>
  <c r="O16" i="33"/>
  <c r="P28" i="33"/>
  <c r="U48" i="33"/>
  <c r="P49" i="33"/>
  <c r="U51" i="33"/>
  <c r="M28" i="33"/>
  <c r="O13" i="33"/>
  <c r="O10" i="33"/>
  <c r="P20" i="33"/>
  <c r="O9" i="33"/>
  <c r="P10" i="33"/>
  <c r="P16" i="33"/>
  <c r="U28" i="33"/>
  <c r="O35" i="33"/>
  <c r="U36" i="33"/>
  <c r="O42" i="33"/>
  <c r="O46" i="33"/>
  <c r="U49" i="33"/>
  <c r="J70" i="33"/>
  <c r="J60" i="33"/>
  <c r="K70" i="33"/>
  <c r="O20" i="33"/>
  <c r="P9" i="33"/>
  <c r="P35" i="33"/>
  <c r="P42" i="33"/>
  <c r="T34" i="24"/>
  <c r="T36" i="24" s="1"/>
  <c r="P43" i="33" l="1"/>
  <c r="I8" i="3"/>
  <c r="I21" i="3" s="1"/>
  <c r="F11" i="15"/>
  <c r="J56" i="33"/>
  <c r="J64" i="33" s="1"/>
  <c r="U43" i="33"/>
  <c r="U70" i="33"/>
  <c r="O60" i="33"/>
  <c r="P60" i="33"/>
  <c r="O28" i="33"/>
  <c r="T72" i="24"/>
  <c r="T60" i="24"/>
  <c r="T59" i="24"/>
  <c r="T43" i="24"/>
  <c r="T42" i="24"/>
  <c r="T41" i="24"/>
  <c r="T40" i="24"/>
  <c r="T38" i="24"/>
  <c r="T11" i="24"/>
  <c r="F55" i="34" l="1"/>
  <c r="E55" i="34"/>
  <c r="D55" i="34"/>
  <c r="I19" i="5"/>
  <c r="G55" i="34"/>
  <c r="H55" i="34"/>
  <c r="D67" i="34"/>
  <c r="J67" i="33"/>
  <c r="W36" i="24"/>
  <c r="W38" i="24"/>
  <c r="W39" i="24"/>
  <c r="W40" i="24"/>
  <c r="W41" i="24"/>
  <c r="U10" i="24"/>
  <c r="U11" i="24"/>
  <c r="U13" i="24"/>
  <c r="U16" i="24"/>
  <c r="U17" i="24"/>
  <c r="U18" i="24"/>
  <c r="U19" i="24"/>
  <c r="U20" i="24"/>
  <c r="U21" i="24"/>
  <c r="U22" i="24"/>
  <c r="U23" i="24"/>
  <c r="U24" i="24"/>
  <c r="U25" i="24"/>
  <c r="U26" i="24"/>
  <c r="U28" i="24"/>
  <c r="U29" i="24"/>
  <c r="U33" i="24"/>
  <c r="U37" i="24"/>
  <c r="U44" i="24"/>
  <c r="U53" i="24"/>
  <c r="U42" i="24"/>
  <c r="U43" i="24"/>
  <c r="U45" i="24"/>
  <c r="U51" i="24"/>
  <c r="U48" i="24"/>
  <c r="U47" i="24"/>
  <c r="U52" i="24"/>
  <c r="U54" i="24"/>
  <c r="U59" i="24"/>
  <c r="U60" i="24"/>
  <c r="U9" i="24"/>
  <c r="V72" i="24"/>
  <c r="X69" i="24"/>
  <c r="X66" i="24"/>
  <c r="X63" i="24"/>
  <c r="X25" i="24"/>
  <c r="X31" i="24"/>
  <c r="AA37" i="24"/>
  <c r="X57" i="24"/>
  <c r="W69" i="24"/>
  <c r="W66" i="24"/>
  <c r="W72" i="24" s="1"/>
  <c r="I24" i="5" l="1"/>
  <c r="X72" i="24"/>
  <c r="V70" i="24"/>
  <c r="V60" i="24"/>
  <c r="V54" i="24"/>
  <c r="V55" i="24" s="1"/>
  <c r="W52" i="24"/>
  <c r="X52" i="24" s="1"/>
  <c r="AA52" i="24" s="1"/>
  <c r="W51" i="24"/>
  <c r="X51" i="24" s="1"/>
  <c r="AA51" i="24" s="1"/>
  <c r="W45" i="24"/>
  <c r="X45" i="24" s="1"/>
  <c r="AA45" i="24" s="1"/>
  <c r="W43" i="24"/>
  <c r="X43" i="24" s="1"/>
  <c r="AA43" i="24" s="1"/>
  <c r="W42" i="24"/>
  <c r="X42" i="24" s="1"/>
  <c r="AA42" i="24" s="1"/>
  <c r="X41" i="24"/>
  <c r="AA41" i="24" s="1"/>
  <c r="X40" i="24"/>
  <c r="AA40" i="24" s="1"/>
  <c r="X39" i="24"/>
  <c r="AA39" i="24" s="1"/>
  <c r="X38" i="24"/>
  <c r="AA38" i="24" s="1"/>
  <c r="X36" i="24"/>
  <c r="AA36" i="24" s="1"/>
  <c r="W34" i="24"/>
  <c r="X34" i="24" s="1"/>
  <c r="AA34" i="24" s="1"/>
  <c r="W29" i="24"/>
  <c r="X29" i="24" s="1"/>
  <c r="V27" i="24"/>
  <c r="AB27" i="24" s="1"/>
  <c r="W48" i="24" l="1"/>
  <c r="X48" i="24" s="1"/>
  <c r="AA48" i="24" s="1"/>
  <c r="T48" i="24"/>
  <c r="V64" i="24"/>
  <c r="V67" i="24"/>
  <c r="V30" i="24"/>
  <c r="V56" i="24" s="1"/>
  <c r="AB30" i="24" l="1"/>
  <c r="V61" i="24"/>
  <c r="AB56" i="24" l="1"/>
  <c r="AB57" i="24" s="1"/>
  <c r="AB61" i="24"/>
  <c r="W11" i="24" l="1"/>
  <c r="X11" i="24" s="1"/>
  <c r="W13" i="24"/>
  <c r="X13" i="24" s="1"/>
  <c r="W24" i="24"/>
  <c r="X24" i="24" s="1"/>
  <c r="W33" i="24"/>
  <c r="X33" i="24" s="1"/>
  <c r="K11" i="3" l="1"/>
  <c r="H11" i="3"/>
  <c r="K72" i="24"/>
  <c r="Q72" i="24" s="1"/>
  <c r="I66" i="12"/>
  <c r="W59" i="24"/>
  <c r="X59" i="24" s="1"/>
  <c r="G92" i="15"/>
  <c r="L45" i="3"/>
  <c r="J22" i="33" l="1"/>
  <c r="O22" i="33" s="1"/>
  <c r="W22" i="24"/>
  <c r="X22" i="24" s="1"/>
  <c r="W54" i="24" l="1"/>
  <c r="X54" i="24" s="1"/>
  <c r="AA54" i="24" s="1"/>
  <c r="L44" i="3"/>
  <c r="U22" i="33"/>
  <c r="U27" i="33" s="1"/>
  <c r="U30" i="33" s="1"/>
  <c r="T22" i="24"/>
  <c r="W17" i="24"/>
  <c r="X17" i="24" s="1"/>
  <c r="K633" i="19"/>
  <c r="K632" i="19"/>
  <c r="B2392" i="19"/>
  <c r="B2393" i="19"/>
  <c r="B2394" i="19"/>
  <c r="B2395" i="19"/>
  <c r="B2396" i="19"/>
  <c r="B2397" i="19"/>
  <c r="B2398" i="19"/>
  <c r="B2399" i="19"/>
  <c r="B2400" i="19"/>
  <c r="B2401" i="19"/>
  <c r="B2402" i="19"/>
  <c r="B2403" i="19"/>
  <c r="B2404" i="19"/>
  <c r="B2405" i="19"/>
  <c r="B2406" i="19"/>
  <c r="B2407" i="19"/>
  <c r="B2408" i="19"/>
  <c r="B2409" i="19"/>
  <c r="B2410" i="19"/>
  <c r="B2411" i="19"/>
  <c r="B2412" i="19"/>
  <c r="B2413" i="19"/>
  <c r="B2414" i="19"/>
  <c r="B2415" i="19"/>
  <c r="B2416" i="19"/>
  <c r="B2417" i="19"/>
  <c r="B2418" i="19"/>
  <c r="B2419" i="19"/>
  <c r="B2420" i="19"/>
  <c r="B2421" i="19"/>
  <c r="B2422" i="19"/>
  <c r="B2423" i="19"/>
  <c r="B2424" i="19"/>
  <c r="B2425" i="19"/>
  <c r="B2426" i="19"/>
  <c r="B2427" i="19"/>
  <c r="B2428" i="19"/>
  <c r="B2429" i="19"/>
  <c r="B2430" i="19"/>
  <c r="B2431" i="19"/>
  <c r="B2432" i="19"/>
  <c r="B2433" i="19"/>
  <c r="B2434" i="19"/>
  <c r="B2435" i="19"/>
  <c r="B2436" i="19"/>
  <c r="B2437" i="19"/>
  <c r="B2438" i="19"/>
  <c r="B2439" i="19"/>
  <c r="B2440" i="19"/>
  <c r="B2441" i="19"/>
  <c r="B2442" i="19"/>
  <c r="B2443" i="19"/>
  <c r="B2444" i="19"/>
  <c r="B2445" i="19"/>
  <c r="B2446" i="19"/>
  <c r="B2447" i="19"/>
  <c r="B2448" i="19"/>
  <c r="B2449" i="19"/>
  <c r="B2450" i="19"/>
  <c r="B2451" i="19"/>
  <c r="B2452" i="19"/>
  <c r="B2453" i="19"/>
  <c r="B2454" i="19"/>
  <c r="B2455" i="19"/>
  <c r="B2456" i="19"/>
  <c r="B2457" i="19"/>
  <c r="B2458" i="19"/>
  <c r="B2459" i="19"/>
  <c r="B2460" i="19"/>
  <c r="B2461" i="19"/>
  <c r="B2462" i="19"/>
  <c r="B2463" i="19"/>
  <c r="B2464" i="19"/>
  <c r="B2465" i="19"/>
  <c r="B2466" i="19"/>
  <c r="B2467" i="19"/>
  <c r="B2468" i="19"/>
  <c r="B2469" i="19"/>
  <c r="B2470" i="19"/>
  <c r="B2471" i="19"/>
  <c r="B2472" i="19"/>
  <c r="B2473" i="19"/>
  <c r="B2474" i="19"/>
  <c r="B2475" i="19"/>
  <c r="B2476" i="19"/>
  <c r="B2477" i="19"/>
  <c r="B2478" i="19"/>
  <c r="B2479" i="19"/>
  <c r="B2480" i="19"/>
  <c r="B2481" i="19"/>
  <c r="B2482" i="19"/>
  <c r="B2483" i="19"/>
  <c r="B2484" i="19"/>
  <c r="B2485" i="19"/>
  <c r="B2486" i="19"/>
  <c r="B2487" i="19"/>
  <c r="B2488" i="19"/>
  <c r="B2489" i="19"/>
  <c r="B2490" i="19"/>
  <c r="B2491" i="19"/>
  <c r="B2492" i="19"/>
  <c r="B2493" i="19"/>
  <c r="B2494" i="19"/>
  <c r="B2495" i="19"/>
  <c r="B2496" i="19"/>
  <c r="B2497" i="19"/>
  <c r="B2498" i="19"/>
  <c r="B2499" i="19"/>
  <c r="B2500" i="19"/>
  <c r="B2501" i="19"/>
  <c r="B2502" i="19"/>
  <c r="B2503" i="19"/>
  <c r="B2504" i="19"/>
  <c r="B2505" i="19"/>
  <c r="B2506" i="19"/>
  <c r="B2507" i="19"/>
  <c r="B2508" i="19"/>
  <c r="B2509" i="19"/>
  <c r="B2510" i="19"/>
  <c r="B2511" i="19"/>
  <c r="B2512" i="19"/>
  <c r="B2513" i="19"/>
  <c r="B2514" i="19"/>
  <c r="B2515" i="19"/>
  <c r="B2516" i="19"/>
  <c r="B2517" i="19"/>
  <c r="B2518" i="19"/>
  <c r="B2519" i="19"/>
  <c r="B2520" i="19"/>
  <c r="B2521" i="19"/>
  <c r="B2522" i="19"/>
  <c r="W44" i="24" l="1"/>
  <c r="X44" i="24" s="1"/>
  <c r="W47" i="24" l="1"/>
  <c r="X47" i="24" s="1"/>
  <c r="AA47" i="24" s="1"/>
  <c r="AA44" i="24"/>
  <c r="K60" i="24"/>
  <c r="W20" i="24"/>
  <c r="X20" i="24" s="1"/>
  <c r="W19" i="24"/>
  <c r="X19" i="24" s="1"/>
  <c r="W28" i="24" l="1"/>
  <c r="X28" i="24" s="1"/>
  <c r="T28" i="24"/>
  <c r="W35" i="24"/>
  <c r="W60" i="24"/>
  <c r="X60" i="24" s="1"/>
  <c r="W10" i="24"/>
  <c r="X10" i="24" s="1"/>
  <c r="X35" i="24" l="1"/>
  <c r="AA35" i="24" s="1"/>
  <c r="J40" i="3" l="1"/>
  <c r="L40" i="3" s="1"/>
  <c r="J43" i="3"/>
  <c r="L43" i="3" s="1"/>
  <c r="H21" i="6" l="1"/>
  <c r="D95" i="6" l="1"/>
  <c r="G41" i="6" l="1"/>
  <c r="F41" i="6"/>
  <c r="E41" i="6"/>
  <c r="E28" i="6"/>
  <c r="F28" i="6"/>
  <c r="H27" i="6"/>
  <c r="G32" i="6"/>
  <c r="E32" i="6"/>
  <c r="H18" i="6"/>
  <c r="K66" i="12"/>
  <c r="M66" i="12" l="1"/>
  <c r="N66" i="12"/>
  <c r="H28" i="6"/>
  <c r="N636" i="19" l="1"/>
  <c r="K631" i="19"/>
  <c r="K630" i="19"/>
  <c r="B2391" i="19"/>
  <c r="B2390" i="19"/>
  <c r="A2390" i="19"/>
  <c r="A2391" i="19" s="1"/>
  <c r="F2299" i="19"/>
  <c r="B2367" i="19"/>
  <c r="B2302" i="19"/>
  <c r="B2303" i="19"/>
  <c r="B2304" i="19"/>
  <c r="B2305" i="19"/>
  <c r="B2306" i="19"/>
  <c r="B2307" i="19"/>
  <c r="B2308" i="19"/>
  <c r="B2309" i="19"/>
  <c r="B2310" i="19"/>
  <c r="B2311" i="19"/>
  <c r="B2312" i="19"/>
  <c r="B2313" i="19"/>
  <c r="B2314" i="19"/>
  <c r="B2315" i="19"/>
  <c r="B2316" i="19"/>
  <c r="B2317" i="19"/>
  <c r="B2318" i="19"/>
  <c r="B2319" i="19"/>
  <c r="B2320" i="19"/>
  <c r="B2321" i="19"/>
  <c r="B2322" i="19"/>
  <c r="B2323" i="19"/>
  <c r="B2324" i="19"/>
  <c r="B2325" i="19"/>
  <c r="B2326" i="19"/>
  <c r="B2327" i="19"/>
  <c r="B2328" i="19"/>
  <c r="B2329" i="19"/>
  <c r="B2330" i="19"/>
  <c r="B2331" i="19"/>
  <c r="B2332" i="19"/>
  <c r="B2333" i="19"/>
  <c r="B2334" i="19"/>
  <c r="B2335" i="19"/>
  <c r="B2336" i="19"/>
  <c r="B2337" i="19"/>
  <c r="B2338" i="19"/>
  <c r="B2339" i="19"/>
  <c r="B2340" i="19"/>
  <c r="B2341" i="19"/>
  <c r="B2342" i="19"/>
  <c r="B2343" i="19"/>
  <c r="B2344" i="19"/>
  <c r="B2345" i="19"/>
  <c r="B2346" i="19"/>
  <c r="B2347" i="19"/>
  <c r="B2348" i="19"/>
  <c r="B2349" i="19"/>
  <c r="B2350" i="19"/>
  <c r="B2351" i="19"/>
  <c r="B2352" i="19"/>
  <c r="B2353" i="19"/>
  <c r="B2354" i="19"/>
  <c r="B2355" i="19"/>
  <c r="B2356" i="19"/>
  <c r="B2357" i="19"/>
  <c r="B2358" i="19"/>
  <c r="B2359" i="19"/>
  <c r="B2360" i="19"/>
  <c r="B2361" i="19"/>
  <c r="B2362" i="19"/>
  <c r="B2363" i="19"/>
  <c r="B2364" i="19"/>
  <c r="B2365" i="19"/>
  <c r="B2366" i="19"/>
  <c r="B2368" i="19"/>
  <c r="B2369" i="19"/>
  <c r="B2370" i="19"/>
  <c r="B2371" i="19"/>
  <c r="B2372" i="19"/>
  <c r="B2373" i="19"/>
  <c r="B2374" i="19"/>
  <c r="B2375" i="19"/>
  <c r="B2376" i="19"/>
  <c r="B2377" i="19"/>
  <c r="B2378" i="19"/>
  <c r="B2379" i="19"/>
  <c r="B2380" i="19"/>
  <c r="B2381" i="19"/>
  <c r="B2382" i="19"/>
  <c r="B2383" i="19"/>
  <c r="B2384" i="19"/>
  <c r="B2385" i="19"/>
  <c r="B2386" i="19"/>
  <c r="B2387" i="19"/>
  <c r="B2388" i="19"/>
  <c r="B2389" i="19"/>
  <c r="Q35" i="24" l="1"/>
  <c r="P35" i="24"/>
  <c r="Q45" i="24"/>
  <c r="P45" i="24"/>
  <c r="Q54" i="24"/>
  <c r="P54" i="24"/>
  <c r="B3" i="24"/>
  <c r="Q36" i="24" l="1"/>
  <c r="P36" i="24"/>
  <c r="J34" i="3"/>
  <c r="L34" i="3" s="1"/>
  <c r="L52" i="3"/>
  <c r="E19" i="6"/>
  <c r="G48" i="6"/>
  <c r="J15" i="33" l="1"/>
  <c r="F32" i="6"/>
  <c r="P15" i="33" l="1"/>
  <c r="O15" i="33"/>
  <c r="J27" i="33"/>
  <c r="H2297" i="19"/>
  <c r="H2287" i="19"/>
  <c r="H2296" i="19"/>
  <c r="B2296" i="19"/>
  <c r="B2297" i="19"/>
  <c r="B2298" i="19"/>
  <c r="B2299" i="19"/>
  <c r="B2300" i="19"/>
  <c r="B2301" i="19"/>
  <c r="B2293" i="19"/>
  <c r="B2294" i="19"/>
  <c r="B2295" i="19"/>
  <c r="E2285" i="19"/>
  <c r="B2285" i="19" s="1"/>
  <c r="B2281" i="19"/>
  <c r="B2282" i="19"/>
  <c r="B2283" i="19"/>
  <c r="B2284" i="19"/>
  <c r="B2291" i="19"/>
  <c r="B2292" i="19"/>
  <c r="B2280" i="19"/>
  <c r="C2239" i="19"/>
  <c r="C2237" i="19"/>
  <c r="B2237" i="19" s="1"/>
  <c r="B2238" i="19"/>
  <c r="B2236" i="19"/>
  <c r="J30" i="33" l="1"/>
  <c r="O27" i="33"/>
  <c r="P27" i="33"/>
  <c r="E2286" i="19"/>
  <c r="B2286" i="19" s="1"/>
  <c r="E2287" i="19"/>
  <c r="B2239" i="19"/>
  <c r="B2240" i="19"/>
  <c r="C2241" i="19"/>
  <c r="J57" i="33" l="1"/>
  <c r="P30" i="33"/>
  <c r="O30" i="33"/>
  <c r="B2287" i="19"/>
  <c r="E2288" i="19"/>
  <c r="B2241" i="19"/>
  <c r="M57" i="5"/>
  <c r="J61" i="33" l="1"/>
  <c r="B2288" i="19"/>
  <c r="E2289" i="19"/>
  <c r="B2242" i="19"/>
  <c r="B2289" i="19" l="1"/>
  <c r="E2290" i="19"/>
  <c r="B2290" i="19" s="1"/>
  <c r="B2243" i="19"/>
  <c r="B2244" i="19" l="1"/>
  <c r="B2245" i="19" l="1"/>
  <c r="H24" i="6"/>
  <c r="H83" i="6"/>
  <c r="H80" i="6"/>
  <c r="G19" i="6"/>
  <c r="C2222" i="19"/>
  <c r="B2221" i="19"/>
  <c r="B2220" i="19"/>
  <c r="C2198" i="19"/>
  <c r="B2246" i="19" l="1"/>
  <c r="B2247" i="19" l="1"/>
  <c r="B2194" i="19"/>
  <c r="B2248" i="19" l="1"/>
  <c r="B2195" i="19"/>
  <c r="B2249" i="19" l="1"/>
  <c r="B2196" i="19"/>
  <c r="K54" i="33" l="1"/>
  <c r="B2250" i="19"/>
  <c r="B2197" i="19"/>
  <c r="K17" i="3"/>
  <c r="F19" i="6"/>
  <c r="F89" i="6" s="1"/>
  <c r="O54" i="33" l="1"/>
  <c r="U54" i="33"/>
  <c r="U56" i="33" s="1"/>
  <c r="P54" i="33"/>
  <c r="K56" i="33"/>
  <c r="B2251" i="19"/>
  <c r="B2198" i="19"/>
  <c r="C2152" i="19"/>
  <c r="B2151" i="19"/>
  <c r="B2150" i="19"/>
  <c r="K67" i="33" l="1"/>
  <c r="K57" i="33"/>
  <c r="K64" i="33"/>
  <c r="O56" i="33"/>
  <c r="P56" i="33"/>
  <c r="U67" i="33"/>
  <c r="U64" i="33"/>
  <c r="U57" i="33"/>
  <c r="U61" i="33" s="1"/>
  <c r="B2252" i="19"/>
  <c r="B2199" i="19"/>
  <c r="B2152" i="19"/>
  <c r="C2153" i="19"/>
  <c r="K61" i="33" l="1"/>
  <c r="O57" i="33"/>
  <c r="P57" i="33"/>
  <c r="B2253" i="19"/>
  <c r="B2200" i="19"/>
  <c r="C2201" i="19"/>
  <c r="B2153" i="19"/>
  <c r="O61" i="33" l="1"/>
  <c r="P61" i="33"/>
  <c r="B2254" i="19"/>
  <c r="C2202" i="19"/>
  <c r="B2201" i="19"/>
  <c r="B2154" i="19"/>
  <c r="C2155" i="19"/>
  <c r="B2255" i="19" l="1"/>
  <c r="B2202" i="19"/>
  <c r="C2156" i="19"/>
  <c r="B2155" i="19"/>
  <c r="B2256" i="19" l="1"/>
  <c r="B2203" i="19"/>
  <c r="B2156" i="19"/>
  <c r="B2257" i="19" l="1"/>
  <c r="B2204" i="19"/>
  <c r="B2157" i="19"/>
  <c r="B2258" i="19" l="1"/>
  <c r="B2205" i="19"/>
  <c r="B2158" i="19"/>
  <c r="B2259" i="19" l="1"/>
  <c r="B2206" i="19"/>
  <c r="B2159" i="19"/>
  <c r="B2260" i="19" l="1"/>
  <c r="B2207" i="19"/>
  <c r="B2160" i="19"/>
  <c r="B2261" i="19" l="1"/>
  <c r="C2262" i="19"/>
  <c r="B2208" i="19"/>
  <c r="C2209" i="19"/>
  <c r="B2161" i="19"/>
  <c r="B2262" i="19" l="1"/>
  <c r="B2209" i="19"/>
  <c r="C2210" i="19"/>
  <c r="B2162" i="19"/>
  <c r="C2264" i="19" l="1"/>
  <c r="B2263" i="19"/>
  <c r="C2211" i="19"/>
  <c r="B2210" i="19"/>
  <c r="B2163" i="19"/>
  <c r="B2264" i="19" l="1"/>
  <c r="B2211" i="19"/>
  <c r="C2212" i="19"/>
  <c r="B2164" i="19"/>
  <c r="B2265" i="19" l="1"/>
  <c r="B2212" i="19"/>
  <c r="B2165" i="19"/>
  <c r="C2267" i="19" l="1"/>
  <c r="B2266" i="19"/>
  <c r="B2213" i="19"/>
  <c r="C2214" i="19"/>
  <c r="B2166" i="19"/>
  <c r="B2267" i="19" l="1"/>
  <c r="B2214" i="19"/>
  <c r="B2167" i="19"/>
  <c r="B2268" i="19" l="1"/>
  <c r="B2215" i="19"/>
  <c r="B2168" i="19"/>
  <c r="B2269" i="19" l="1"/>
  <c r="C2217" i="19"/>
  <c r="B2216" i="19"/>
  <c r="B2169" i="19"/>
  <c r="B2270" i="19" l="1"/>
  <c r="B2217" i="19"/>
  <c r="C2171" i="19"/>
  <c r="B2170" i="19"/>
  <c r="B2271" i="19" l="1"/>
  <c r="C2219" i="19"/>
  <c r="B2218" i="19"/>
  <c r="C2172" i="19"/>
  <c r="B2171" i="19"/>
  <c r="B2272" i="19" l="1"/>
  <c r="B2219" i="19"/>
  <c r="B2172" i="19"/>
  <c r="B2273" i="19" l="1"/>
  <c r="B2173" i="19"/>
  <c r="C2174" i="19"/>
  <c r="C2275" i="19" l="1"/>
  <c r="B2274" i="19"/>
  <c r="B2222" i="19"/>
  <c r="B2174" i="19"/>
  <c r="C2276" i="19" l="1"/>
  <c r="B2275" i="19"/>
  <c r="B2223" i="19"/>
  <c r="B2175" i="19"/>
  <c r="B2276" i="19" l="1"/>
  <c r="B2224" i="19"/>
  <c r="B2176" i="19"/>
  <c r="B2277" i="19" l="1"/>
  <c r="B2225" i="19"/>
  <c r="B2177" i="19"/>
  <c r="C2279" i="19" l="1"/>
  <c r="H2280" i="19" s="1"/>
  <c r="B2278" i="19"/>
  <c r="C2226" i="19"/>
  <c r="B2226" i="19" s="1"/>
  <c r="B2178" i="19"/>
  <c r="B2279" i="19" l="1"/>
  <c r="B2227" i="19"/>
  <c r="B2179" i="19"/>
  <c r="C2228" i="19" l="1"/>
  <c r="B2228" i="19" s="1"/>
  <c r="B2180" i="19"/>
  <c r="B2229" i="19" l="1"/>
  <c r="B2181" i="19"/>
  <c r="B2230" i="19" l="1"/>
  <c r="B2182" i="19"/>
  <c r="B2231" i="19" l="1"/>
  <c r="B2183" i="19"/>
  <c r="B2232" i="19" l="1"/>
  <c r="C2185" i="19"/>
  <c r="B2184" i="19"/>
  <c r="B2233" i="19" l="1"/>
  <c r="B2185" i="19"/>
  <c r="B2234" i="19" l="1"/>
  <c r="B2186" i="19"/>
  <c r="B2235" i="19" l="1"/>
  <c r="B2187" i="19"/>
  <c r="B2188" i="19" l="1"/>
  <c r="B2189" i="19" l="1"/>
  <c r="C2191" i="19" l="1"/>
  <c r="B2190" i="19"/>
  <c r="C2192" i="19" l="1"/>
  <c r="B2191" i="19"/>
  <c r="B2192" i="19" l="1"/>
  <c r="C2193" i="19"/>
  <c r="B2193" i="19" s="1"/>
  <c r="L62" i="3"/>
  <c r="M62" i="3" l="1"/>
  <c r="H64" i="12"/>
  <c r="W21" i="24"/>
  <c r="X21" i="24" s="1"/>
  <c r="G106" i="15"/>
  <c r="H106" i="15" s="1"/>
  <c r="B2149" i="19"/>
  <c r="C2104" i="19"/>
  <c r="B2104" i="19" s="1"/>
  <c r="N64" i="12" l="1"/>
  <c r="M64" i="12"/>
  <c r="C2105" i="19"/>
  <c r="P25" i="24"/>
  <c r="P28" i="24" l="1"/>
  <c r="Q28" i="24"/>
  <c r="W14" i="24"/>
  <c r="X14" i="24" s="1"/>
  <c r="W18" i="24"/>
  <c r="X18" i="24" s="1"/>
  <c r="C2106" i="19"/>
  <c r="B2105" i="19"/>
  <c r="T54" i="24"/>
  <c r="L52" i="24"/>
  <c r="T52" i="24" s="1"/>
  <c r="T47" i="24"/>
  <c r="B2106" i="19" l="1"/>
  <c r="M11" i="12"/>
  <c r="B2107" i="19" l="1"/>
  <c r="K57" i="5"/>
  <c r="K50" i="5"/>
  <c r="K24" i="5"/>
  <c r="K16" i="5"/>
  <c r="M7" i="5"/>
  <c r="I30" i="12" l="1"/>
  <c r="Y30" i="12" s="1"/>
  <c r="I67" i="12"/>
  <c r="B2108" i="19"/>
  <c r="C2109" i="19"/>
  <c r="K26" i="5"/>
  <c r="K36" i="5" s="1"/>
  <c r="K59" i="5"/>
  <c r="D36" i="6"/>
  <c r="C2061" i="19"/>
  <c r="B2061" i="19" s="1"/>
  <c r="I58" i="12" l="1"/>
  <c r="I69" i="12" s="1"/>
  <c r="I72" i="12" s="1"/>
  <c r="H71" i="12" s="1"/>
  <c r="D41" i="6"/>
  <c r="H35" i="6"/>
  <c r="K67" i="5"/>
  <c r="B2109" i="19"/>
  <c r="C2110" i="19"/>
  <c r="K70" i="5"/>
  <c r="C2063" i="19"/>
  <c r="B2062" i="19"/>
  <c r="I89" i="3" l="1"/>
  <c r="B2110" i="19"/>
  <c r="B2063" i="19"/>
  <c r="I19" i="32"/>
  <c r="I15" i="32"/>
  <c r="B2111" i="19" l="1"/>
  <c r="C2112" i="19"/>
  <c r="B2064" i="19"/>
  <c r="C2065" i="19"/>
  <c r="I48" i="32"/>
  <c r="I44" i="32"/>
  <c r="I41" i="32"/>
  <c r="I24" i="32"/>
  <c r="I21" i="32"/>
  <c r="G48" i="32"/>
  <c r="G44" i="32"/>
  <c r="G11" i="32"/>
  <c r="B2112" i="19" l="1"/>
  <c r="C2113" i="19"/>
  <c r="B2065" i="19"/>
  <c r="G49" i="32"/>
  <c r="I25" i="32"/>
  <c r="G25" i="32"/>
  <c r="B2113" i="19" l="1"/>
  <c r="B2066" i="19"/>
  <c r="G51" i="32"/>
  <c r="G56" i="32" s="1"/>
  <c r="I49" i="32"/>
  <c r="I51" i="32" s="1"/>
  <c r="I56" i="32" s="1"/>
  <c r="B2114" i="19" l="1"/>
  <c r="B2067" i="19"/>
  <c r="L59" i="3"/>
  <c r="B2115" i="19" l="1"/>
  <c r="C2116" i="19"/>
  <c r="C2069" i="19"/>
  <c r="B2068" i="19"/>
  <c r="G17" i="31"/>
  <c r="G10" i="31"/>
  <c r="B2116" i="19" l="1"/>
  <c r="B2069" i="19"/>
  <c r="C1971" i="19"/>
  <c r="B1971" i="19" s="1"/>
  <c r="B1970" i="19"/>
  <c r="B2117" i="19" l="1"/>
  <c r="B2070" i="19"/>
  <c r="C1972" i="19"/>
  <c r="B1972" i="19" s="1"/>
  <c r="B1973" i="19"/>
  <c r="B2118" i="19" l="1"/>
  <c r="B2071" i="19"/>
  <c r="B1974" i="19"/>
  <c r="B2119" i="19" l="1"/>
  <c r="B2072" i="19"/>
  <c r="B1975" i="19"/>
  <c r="B2120" i="19" l="1"/>
  <c r="B2073" i="19"/>
  <c r="B1976" i="19"/>
  <c r="B2121" i="19" l="1"/>
  <c r="C2075" i="19"/>
  <c r="B2074" i="19"/>
  <c r="B1977" i="19"/>
  <c r="C2123" i="19" l="1"/>
  <c r="B2122" i="19"/>
  <c r="B2075" i="19"/>
  <c r="B1978" i="19"/>
  <c r="B2123" i="19" l="1"/>
  <c r="B2076" i="19"/>
  <c r="C2077" i="19"/>
  <c r="B1979" i="19"/>
  <c r="B2124" i="19" l="1"/>
  <c r="B2077" i="19"/>
  <c r="B1980" i="19"/>
  <c r="B2125" i="19" l="1"/>
  <c r="C2079" i="19"/>
  <c r="B2078" i="19"/>
  <c r="B1981" i="19"/>
  <c r="B2126" i="19" l="1"/>
  <c r="B2079" i="19"/>
  <c r="B1982" i="19"/>
  <c r="B2127" i="19" l="1"/>
  <c r="C2128" i="19"/>
  <c r="C2081" i="19"/>
  <c r="B2080" i="19"/>
  <c r="B1983" i="19"/>
  <c r="B2128" i="19" l="1"/>
  <c r="C2129" i="19"/>
  <c r="B2081" i="19"/>
  <c r="B1984" i="19"/>
  <c r="B2129" i="19" l="1"/>
  <c r="C2083" i="19"/>
  <c r="B2082" i="19"/>
  <c r="B1985" i="19"/>
  <c r="B2130" i="19" l="1"/>
  <c r="B2083" i="19"/>
  <c r="B1986" i="19"/>
  <c r="C1987" i="19"/>
  <c r="B2131" i="19" l="1"/>
  <c r="B2084" i="19"/>
  <c r="C2085" i="19"/>
  <c r="B1987" i="19"/>
  <c r="B2132" i="19" l="1"/>
  <c r="B2085" i="19"/>
  <c r="B1988" i="19"/>
  <c r="B2133" i="19" l="1"/>
  <c r="B2086" i="19"/>
  <c r="B1989" i="19"/>
  <c r="C2135" i="19" l="1"/>
  <c r="B2134" i="19"/>
  <c r="B2087" i="19"/>
  <c r="B1990" i="19"/>
  <c r="B2135" i="19" l="1"/>
  <c r="B2088" i="19"/>
  <c r="C1992" i="19"/>
  <c r="B1991" i="19"/>
  <c r="B2136" i="19" l="1"/>
  <c r="C2137" i="19"/>
  <c r="B2089" i="19"/>
  <c r="B1992" i="19"/>
  <c r="B2137" i="19" l="1"/>
  <c r="B2090" i="19"/>
  <c r="B1993" i="19"/>
  <c r="B2138" i="19" l="1"/>
  <c r="B2091" i="19"/>
  <c r="B1994" i="19"/>
  <c r="B2139" i="19" l="1"/>
  <c r="B2092" i="19"/>
  <c r="B1995" i="19"/>
  <c r="C1996" i="19"/>
  <c r="B2140" i="19" l="1"/>
  <c r="C2141" i="19"/>
  <c r="B2093" i="19"/>
  <c r="C1997" i="19"/>
  <c r="B1996" i="19"/>
  <c r="B2141" i="19" l="1"/>
  <c r="B2094" i="19"/>
  <c r="C1998" i="19"/>
  <c r="B1997" i="19"/>
  <c r="C2143" i="19" l="1"/>
  <c r="B2142" i="19"/>
  <c r="B2095" i="19"/>
  <c r="B1998" i="19"/>
  <c r="B2143" i="19" l="1"/>
  <c r="B2096" i="19"/>
  <c r="B1999" i="19"/>
  <c r="B2144" i="19" l="1"/>
  <c r="B2097" i="19"/>
  <c r="B2000" i="19"/>
  <c r="B2145" i="19" l="1"/>
  <c r="C2099" i="19"/>
  <c r="B2098" i="19"/>
  <c r="B2001" i="19"/>
  <c r="C2002" i="19"/>
  <c r="C2147" i="19" l="1"/>
  <c r="B2146" i="19"/>
  <c r="B2099" i="19"/>
  <c r="B2002" i="19"/>
  <c r="B2147" i="19" l="1"/>
  <c r="C2148" i="19"/>
  <c r="B2148" i="19" s="1"/>
  <c r="H2396" i="19" s="1"/>
  <c r="B2100" i="19"/>
  <c r="B2003" i="19"/>
  <c r="H2522" i="19" l="1"/>
  <c r="B2101" i="19"/>
  <c r="B2004" i="19"/>
  <c r="B2103" i="19" l="1"/>
  <c r="B2102" i="19"/>
  <c r="C2006" i="19"/>
  <c r="B2005" i="19"/>
  <c r="B2006" i="19" l="1"/>
  <c r="B2007" i="19" l="1"/>
  <c r="B2008" i="19" l="1"/>
  <c r="B2009" i="19" l="1"/>
  <c r="C2010" i="19"/>
  <c r="C2011" i="19" l="1"/>
  <c r="B2010" i="19"/>
  <c r="B2011" i="19" l="1"/>
  <c r="B2012" i="19" l="1"/>
  <c r="B2013" i="19" l="1"/>
  <c r="B2014" i="19" l="1"/>
  <c r="B2015" i="19" l="1"/>
  <c r="C2017" i="19"/>
  <c r="C2018" i="19" l="1"/>
  <c r="B2017" i="19"/>
  <c r="B2016" i="19"/>
  <c r="C2019" i="19" l="1"/>
  <c r="B2018" i="19"/>
  <c r="J39" i="3"/>
  <c r="L37" i="3"/>
  <c r="B2019" i="19" l="1"/>
  <c r="B2020" i="19" l="1"/>
  <c r="G14" i="31"/>
  <c r="G21" i="31" s="1"/>
  <c r="H9" i="3" l="1"/>
  <c r="K9" i="3"/>
  <c r="B2021" i="19"/>
  <c r="C2022" i="19"/>
  <c r="G23" i="31"/>
  <c r="O57" i="30"/>
  <c r="O56" i="30"/>
  <c r="C2023" i="19" l="1"/>
  <c r="B2022" i="19"/>
  <c r="O43" i="30"/>
  <c r="O42" i="30" s="1"/>
  <c r="B2023" i="19" l="1"/>
  <c r="K34" i="30"/>
  <c r="K51" i="30"/>
  <c r="K56" i="30" s="1"/>
  <c r="K45" i="30"/>
  <c r="M45" i="30" s="1"/>
  <c r="K47" i="30"/>
  <c r="M47" i="30"/>
  <c r="K50" i="30"/>
  <c r="M50" i="30" s="1"/>
  <c r="M49" i="30"/>
  <c r="M48" i="30"/>
  <c r="M39" i="30"/>
  <c r="M38" i="30"/>
  <c r="M36" i="30"/>
  <c r="M35" i="30"/>
  <c r="K40" i="30"/>
  <c r="M40" i="30" s="1"/>
  <c r="K42" i="30"/>
  <c r="K43" i="30"/>
  <c r="M37" i="30"/>
  <c r="K33" i="30"/>
  <c r="K32" i="30"/>
  <c r="M32" i="30" s="1"/>
  <c r="B2024" i="19" l="1"/>
  <c r="M27" i="30"/>
  <c r="M23" i="30"/>
  <c r="M22" i="30"/>
  <c r="M21" i="30"/>
  <c r="M18" i="30"/>
  <c r="M16" i="30"/>
  <c r="K11" i="30"/>
  <c r="M11" i="30" s="1"/>
  <c r="B2025" i="19" l="1"/>
  <c r="M57" i="30"/>
  <c r="K57" i="30"/>
  <c r="J57" i="30"/>
  <c r="J52" i="30"/>
  <c r="J51" i="30"/>
  <c r="J46" i="30"/>
  <c r="J44" i="30"/>
  <c r="J43" i="30"/>
  <c r="J33" i="30"/>
  <c r="J26" i="30"/>
  <c r="J24" i="30"/>
  <c r="J20" i="30"/>
  <c r="J19" i="30"/>
  <c r="J17" i="30"/>
  <c r="J13" i="30"/>
  <c r="J10" i="30"/>
  <c r="M10" i="30" s="1"/>
  <c r="B1925" i="19"/>
  <c r="B2026" i="19" l="1"/>
  <c r="J56" i="30"/>
  <c r="M51" i="30"/>
  <c r="J41" i="30"/>
  <c r="K24" i="30"/>
  <c r="M24" i="30" s="1"/>
  <c r="O24" i="30" s="1"/>
  <c r="O25" i="30" s="1"/>
  <c r="O28" i="30" s="1"/>
  <c r="M43" i="30"/>
  <c r="K20" i="30"/>
  <c r="M20" i="30" s="1"/>
  <c r="M44" i="30"/>
  <c r="M52" i="30"/>
  <c r="J34" i="30"/>
  <c r="M34" i="30" s="1"/>
  <c r="M33" i="30"/>
  <c r="K26" i="30"/>
  <c r="M26" i="30" s="1"/>
  <c r="M46" i="30"/>
  <c r="K19" i="30"/>
  <c r="M19" i="30" s="1"/>
  <c r="K17" i="30"/>
  <c r="M17" i="30" s="1"/>
  <c r="K13" i="30"/>
  <c r="M13" i="30" s="1"/>
  <c r="J42" i="30"/>
  <c r="C1926" i="19"/>
  <c r="B2027" i="19" l="1"/>
  <c r="K41" i="30"/>
  <c r="K53" i="30" s="1"/>
  <c r="M42" i="30"/>
  <c r="M56" i="30"/>
  <c r="J53" i="30"/>
  <c r="B1926" i="19"/>
  <c r="B2028" i="19" l="1"/>
  <c r="M41" i="30"/>
  <c r="O41" i="30" s="1"/>
  <c r="O53" i="30" s="1"/>
  <c r="O54" i="30" s="1"/>
  <c r="O58" i="30" s="1"/>
  <c r="B1927" i="19"/>
  <c r="B2029" i="19" l="1"/>
  <c r="M53" i="30"/>
  <c r="B1928" i="19"/>
  <c r="C1929" i="19"/>
  <c r="B2030" i="19" l="1"/>
  <c r="B1929" i="19"/>
  <c r="B2031" i="19" l="1"/>
  <c r="B1930" i="19"/>
  <c r="C1931" i="19"/>
  <c r="B2032" i="19" l="1"/>
  <c r="C1932" i="19"/>
  <c r="B1931" i="19"/>
  <c r="B2033" i="19" l="1"/>
  <c r="B1932" i="19"/>
  <c r="C1933" i="19"/>
  <c r="B2034" i="19" l="1"/>
  <c r="B1933" i="19"/>
  <c r="B2035" i="19" l="1"/>
  <c r="B1934" i="19"/>
  <c r="B2036" i="19" l="1"/>
  <c r="C2037" i="19"/>
  <c r="B1935" i="19"/>
  <c r="C1936" i="19"/>
  <c r="B2037" i="19" l="1"/>
  <c r="B1936" i="19"/>
  <c r="C1937" i="19"/>
  <c r="B2038" i="19" l="1"/>
  <c r="B1937" i="19"/>
  <c r="C2040" i="19" l="1"/>
  <c r="B2039" i="19"/>
  <c r="C1939" i="19"/>
  <c r="B1938" i="19"/>
  <c r="B2040" i="19" l="1"/>
  <c r="C2041" i="19"/>
  <c r="B1939" i="19"/>
  <c r="B2041" i="19" l="1"/>
  <c r="C2042" i="19"/>
  <c r="B1940" i="19"/>
  <c r="B2042" i="19" l="1"/>
  <c r="C2043" i="19"/>
  <c r="B1941" i="19"/>
  <c r="C2044" i="19" l="1"/>
  <c r="B2043" i="19"/>
  <c r="B1942" i="19"/>
  <c r="C1943" i="19"/>
  <c r="B2044" i="19" l="1"/>
  <c r="B1943" i="19"/>
  <c r="B2045" i="19" l="1"/>
  <c r="C2046" i="19"/>
  <c r="B1944" i="19"/>
  <c r="C1945" i="19"/>
  <c r="B2046" i="19" l="1"/>
  <c r="B1945" i="19"/>
  <c r="B2047" i="19" l="1"/>
  <c r="C1947" i="19"/>
  <c r="B1946" i="19"/>
  <c r="B2048" i="19" l="1"/>
  <c r="B1947" i="19"/>
  <c r="C2050" i="19" l="1"/>
  <c r="B2049" i="19"/>
  <c r="B1948" i="19"/>
  <c r="B2050" i="19" l="1"/>
  <c r="B1949" i="19"/>
  <c r="B2051" i="19" l="1"/>
  <c r="B1950" i="19"/>
  <c r="B2052" i="19" l="1"/>
  <c r="C1952" i="19"/>
  <c r="B1951" i="19"/>
  <c r="B2053" i="19" l="1"/>
  <c r="B1952" i="19"/>
  <c r="B2054" i="19" l="1"/>
  <c r="C2055" i="19"/>
  <c r="B1953" i="19"/>
  <c r="B2055" i="19" l="1"/>
  <c r="C2056" i="19"/>
  <c r="B1954" i="19"/>
  <c r="B2056" i="19" l="1"/>
  <c r="C1956" i="19"/>
  <c r="B1955" i="19"/>
  <c r="B2057" i="19" l="1"/>
  <c r="B1956" i="19"/>
  <c r="C1957" i="19"/>
  <c r="C2059" i="19" l="1"/>
  <c r="B2058" i="19"/>
  <c r="B1957" i="19"/>
  <c r="B2060" i="19" l="1"/>
  <c r="B2059" i="19"/>
  <c r="C1959" i="19"/>
  <c r="B1958" i="19"/>
  <c r="B1959" i="19" l="1"/>
  <c r="B1960" i="19" l="1"/>
  <c r="B1961" i="19" l="1"/>
  <c r="B1962" i="19" l="1"/>
  <c r="B1963" i="19" l="1"/>
  <c r="B1964" i="19" l="1"/>
  <c r="C1965" i="19"/>
  <c r="B1965" i="19" l="1"/>
  <c r="B1966" i="19" l="1"/>
  <c r="B1967" i="19" l="1"/>
  <c r="B1968" i="19" l="1"/>
  <c r="B1969" i="19"/>
  <c r="N9" i="24" l="1"/>
  <c r="N70" i="24" l="1"/>
  <c r="D19" i="6"/>
  <c r="K116" i="29" l="1"/>
  <c r="G116" i="29"/>
  <c r="K114" i="29"/>
  <c r="J114" i="29"/>
  <c r="I114" i="29"/>
  <c r="H114" i="29"/>
  <c r="G114" i="29"/>
  <c r="K109" i="29"/>
  <c r="K100" i="29"/>
  <c r="J100" i="29"/>
  <c r="I100" i="29"/>
  <c r="H100" i="29"/>
  <c r="J87" i="29"/>
  <c r="J109" i="29" s="1"/>
  <c r="I87" i="29"/>
  <c r="I109" i="29" s="1"/>
  <c r="H87" i="29"/>
  <c r="H109" i="29" s="1"/>
  <c r="I85" i="29"/>
  <c r="H85" i="29"/>
  <c r="K78" i="29"/>
  <c r="J78" i="29"/>
  <c r="K74" i="29"/>
  <c r="K96" i="29" s="1"/>
  <c r="J74" i="29"/>
  <c r="J96" i="29" s="1"/>
  <c r="I74" i="29"/>
  <c r="I79" i="29" s="1"/>
  <c r="H74" i="29"/>
  <c r="H79" i="29" s="1"/>
  <c r="J71" i="29"/>
  <c r="I71" i="29"/>
  <c r="H71" i="29"/>
  <c r="K70" i="29"/>
  <c r="K69" i="29"/>
  <c r="J67" i="29"/>
  <c r="I67" i="29"/>
  <c r="H67" i="29"/>
  <c r="K66" i="29"/>
  <c r="K65" i="29"/>
  <c r="K67" i="29" s="1"/>
  <c r="K60" i="29"/>
  <c r="J60" i="29"/>
  <c r="H60" i="29"/>
  <c r="K50" i="29"/>
  <c r="G50" i="29"/>
  <c r="H49" i="29"/>
  <c r="K45" i="29"/>
  <c r="J45" i="29"/>
  <c r="H45" i="29"/>
  <c r="J40" i="29"/>
  <c r="H40" i="29"/>
  <c r="J39" i="29"/>
  <c r="J38" i="29"/>
  <c r="H38" i="29"/>
  <c r="K37" i="29"/>
  <c r="K36" i="29"/>
  <c r="K76" i="29" s="1"/>
  <c r="K98" i="29" s="1"/>
  <c r="J36" i="29"/>
  <c r="J107" i="29" s="1"/>
  <c r="I36" i="29"/>
  <c r="I107" i="29" s="1"/>
  <c r="H36" i="29"/>
  <c r="H107" i="29" s="1"/>
  <c r="G36" i="29"/>
  <c r="G46" i="29" s="1"/>
  <c r="J35" i="29"/>
  <c r="J50" i="29" s="1"/>
  <c r="I35" i="29"/>
  <c r="I50" i="29" s="1"/>
  <c r="H35" i="29"/>
  <c r="H50" i="29" s="1"/>
  <c r="K29" i="29"/>
  <c r="J28" i="29"/>
  <c r="J29" i="29" s="1"/>
  <c r="I28" i="29"/>
  <c r="H28" i="29"/>
  <c r="K19" i="29"/>
  <c r="J18" i="29"/>
  <c r="J21" i="29" s="1"/>
  <c r="H18" i="29"/>
  <c r="H21" i="29" s="1"/>
  <c r="G16" i="29"/>
  <c r="K15" i="29"/>
  <c r="K18" i="29" s="1"/>
  <c r="G15" i="29"/>
  <c r="I12" i="29"/>
  <c r="I8" i="29"/>
  <c r="I60" i="29" s="1"/>
  <c r="G8" i="29"/>
  <c r="H96" i="29" l="1"/>
  <c r="H101" i="29" s="1"/>
  <c r="K71" i="29"/>
  <c r="J85" i="29"/>
  <c r="K85" i="29"/>
  <c r="K79" i="29"/>
  <c r="G115" i="29"/>
  <c r="I18" i="29"/>
  <c r="I21" i="29" s="1"/>
  <c r="K21" i="29"/>
  <c r="J101" i="29"/>
  <c r="K107" i="29"/>
  <c r="I96" i="29"/>
  <c r="I101" i="29" s="1"/>
  <c r="I46" i="29"/>
  <c r="I54" i="29" s="1"/>
  <c r="G18" i="29"/>
  <c r="G21" i="29" s="1"/>
  <c r="G47" i="29" s="1"/>
  <c r="G51" i="29" s="1"/>
  <c r="K101" i="29"/>
  <c r="J46" i="29"/>
  <c r="J47" i="29" s="1"/>
  <c r="J51" i="29" s="1"/>
  <c r="K46" i="29"/>
  <c r="K57" i="29" s="1"/>
  <c r="J79" i="29"/>
  <c r="H23" i="29"/>
  <c r="G57" i="29"/>
  <c r="H76" i="29"/>
  <c r="H98" i="29" s="1"/>
  <c r="H116" i="29"/>
  <c r="H46" i="29"/>
  <c r="H47" i="29" s="1"/>
  <c r="H51" i="29" s="1"/>
  <c r="I76" i="29"/>
  <c r="I98" i="29" s="1"/>
  <c r="I116" i="29"/>
  <c r="G54" i="29"/>
  <c r="J76" i="29"/>
  <c r="J98" i="29" s="1"/>
  <c r="J116" i="29"/>
  <c r="J115" i="29" l="1"/>
  <c r="K47" i="29"/>
  <c r="K51" i="29" s="1"/>
  <c r="J63" i="29"/>
  <c r="K54" i="29"/>
  <c r="K115" i="29"/>
  <c r="J54" i="29"/>
  <c r="J57" i="29"/>
  <c r="I75" i="29"/>
  <c r="I84" i="29" s="1"/>
  <c r="K63" i="29"/>
  <c r="I47" i="29"/>
  <c r="I51" i="29" s="1"/>
  <c r="I63" i="29"/>
  <c r="J75" i="29"/>
  <c r="J80" i="29" s="1"/>
  <c r="I57" i="29"/>
  <c r="I115" i="29"/>
  <c r="K75" i="29"/>
  <c r="K97" i="29" s="1"/>
  <c r="H115" i="29"/>
  <c r="H54" i="29"/>
  <c r="H63" i="29"/>
  <c r="H57" i="29"/>
  <c r="H75" i="29"/>
  <c r="K77" i="29" l="1"/>
  <c r="J77" i="29"/>
  <c r="I97" i="29"/>
  <c r="I106" i="29" s="1"/>
  <c r="K80" i="29"/>
  <c r="I77" i="29"/>
  <c r="J84" i="29"/>
  <c r="I80" i="29"/>
  <c r="J97" i="29"/>
  <c r="J106" i="29" s="1"/>
  <c r="K84" i="29"/>
  <c r="I83" i="29"/>
  <c r="K106" i="29"/>
  <c r="K102" i="29"/>
  <c r="K99" i="29"/>
  <c r="J83" i="29"/>
  <c r="H97" i="29"/>
  <c r="H77" i="29"/>
  <c r="H84" i="29"/>
  <c r="H80" i="29"/>
  <c r="K83" i="29"/>
  <c r="I99" i="29" l="1"/>
  <c r="J99" i="29"/>
  <c r="J102" i="29"/>
  <c r="I102" i="29"/>
  <c r="H106" i="29"/>
  <c r="H102" i="29"/>
  <c r="H99" i="29"/>
  <c r="J105" i="29"/>
  <c r="H83" i="29"/>
  <c r="K105" i="29"/>
  <c r="I86" i="29"/>
  <c r="I88" i="29"/>
  <c r="K86" i="29"/>
  <c r="K88" i="29"/>
  <c r="J86" i="29"/>
  <c r="J88" i="29"/>
  <c r="I105" i="29"/>
  <c r="J110" i="29" l="1"/>
  <c r="J108" i="29"/>
  <c r="K110" i="29"/>
  <c r="K112" i="29" s="1"/>
  <c r="K108" i="29"/>
  <c r="K89" i="29"/>
  <c r="K91" i="29"/>
  <c r="H88" i="29"/>
  <c r="H86" i="29"/>
  <c r="K90" i="29"/>
  <c r="I110" i="29"/>
  <c r="I108" i="29"/>
  <c r="I89" i="29"/>
  <c r="I91" i="29"/>
  <c r="I90" i="29"/>
  <c r="J89" i="29"/>
  <c r="J91" i="29"/>
  <c r="J90" i="29"/>
  <c r="H105" i="29"/>
  <c r="H110" i="29" l="1"/>
  <c r="H108" i="29"/>
  <c r="H89" i="29"/>
  <c r="H91" i="29"/>
  <c r="I111" i="29"/>
  <c r="I113" i="29"/>
  <c r="I112" i="29"/>
  <c r="K111" i="29"/>
  <c r="K113" i="29"/>
  <c r="J111" i="29"/>
  <c r="J113" i="29"/>
  <c r="H90" i="29"/>
  <c r="J112" i="29"/>
  <c r="H111" i="29" l="1"/>
  <c r="H113" i="29"/>
  <c r="H112" i="29"/>
  <c r="L9" i="24" l="1"/>
  <c r="L70" i="24" s="1"/>
  <c r="B1883" i="19" l="1"/>
  <c r="B1882" i="19"/>
  <c r="B1884" i="19" l="1"/>
  <c r="C1885" i="19"/>
  <c r="B1885" i="19" l="1"/>
  <c r="B1886" i="19" l="1"/>
  <c r="B1887" i="19" l="1"/>
  <c r="G110" i="15"/>
  <c r="E108" i="15"/>
  <c r="H74" i="15"/>
  <c r="B1888" i="19" l="1"/>
  <c r="C1850" i="19"/>
  <c r="C1856" i="19" s="1"/>
  <c r="C1857" i="19" s="1"/>
  <c r="C1862" i="19" s="1"/>
  <c r="C1875" i="19" s="1"/>
  <c r="C1877" i="19" s="1"/>
  <c r="B1881" i="19" s="1"/>
  <c r="B1889" i="19" l="1"/>
  <c r="B1857" i="19"/>
  <c r="B1849" i="19"/>
  <c r="B1850" i="19"/>
  <c r="B1865" i="19"/>
  <c r="B1873" i="19"/>
  <c r="B1866" i="19"/>
  <c r="B1868" i="19"/>
  <c r="B1845" i="19"/>
  <c r="B1853" i="19"/>
  <c r="B1861" i="19"/>
  <c r="B1877" i="19"/>
  <c r="B1862" i="19"/>
  <c r="B1878" i="19"/>
  <c r="B1847" i="19"/>
  <c r="B1855" i="19"/>
  <c r="B1863" i="19"/>
  <c r="B1871" i="19"/>
  <c r="B1879" i="19"/>
  <c r="B1858" i="19"/>
  <c r="B1874" i="19"/>
  <c r="B1851" i="19"/>
  <c r="B1859" i="19"/>
  <c r="B1867" i="19"/>
  <c r="B1875" i="19"/>
  <c r="B1852" i="19"/>
  <c r="B1860" i="19"/>
  <c r="B1876" i="19"/>
  <c r="B1869" i="19"/>
  <c r="B1846" i="19"/>
  <c r="B1854" i="19"/>
  <c r="B1870" i="19"/>
  <c r="B1848" i="19"/>
  <c r="B1856" i="19"/>
  <c r="B1864" i="19"/>
  <c r="B1872" i="19"/>
  <c r="B1880" i="19"/>
  <c r="K67" i="12"/>
  <c r="C1891" i="19" l="1"/>
  <c r="B1890" i="19"/>
  <c r="K39" i="3"/>
  <c r="B1891" i="19" l="1"/>
  <c r="F102" i="15"/>
  <c r="H110" i="15"/>
  <c r="B1892" i="19" l="1"/>
  <c r="B1893" i="19" l="1"/>
  <c r="B1894" i="19" l="1"/>
  <c r="J15" i="30" l="1"/>
  <c r="M15" i="30" s="1"/>
  <c r="B1895" i="19"/>
  <c r="H16" i="6"/>
  <c r="H30" i="12" l="1"/>
  <c r="B1896" i="19"/>
  <c r="G117" i="28"/>
  <c r="K115" i="28"/>
  <c r="J115" i="28"/>
  <c r="I115" i="28"/>
  <c r="H115" i="28"/>
  <c r="G115" i="28"/>
  <c r="K110" i="28"/>
  <c r="K101" i="28"/>
  <c r="J101" i="28"/>
  <c r="I101" i="28"/>
  <c r="H101" i="28"/>
  <c r="J88" i="28"/>
  <c r="J110" i="28" s="1"/>
  <c r="I88" i="28"/>
  <c r="I110" i="28" s="1"/>
  <c r="H88" i="28"/>
  <c r="H110" i="28" s="1"/>
  <c r="I86" i="28"/>
  <c r="H86" i="28"/>
  <c r="K79" i="28"/>
  <c r="J79" i="28"/>
  <c r="K75" i="28"/>
  <c r="K97" i="28" s="1"/>
  <c r="J75" i="28"/>
  <c r="J97" i="28" s="1"/>
  <c r="I75" i="28"/>
  <c r="I97" i="28" s="1"/>
  <c r="H75" i="28"/>
  <c r="H80" i="28" s="1"/>
  <c r="J72" i="28"/>
  <c r="I72" i="28"/>
  <c r="H72" i="28"/>
  <c r="K71" i="28"/>
  <c r="K70" i="28"/>
  <c r="J68" i="28"/>
  <c r="I68" i="28"/>
  <c r="H68" i="28"/>
  <c r="K67" i="28"/>
  <c r="K66" i="28"/>
  <c r="J61" i="28"/>
  <c r="H61" i="28"/>
  <c r="G51" i="28"/>
  <c r="H50" i="28"/>
  <c r="J46" i="28"/>
  <c r="H46" i="28"/>
  <c r="K45" i="28"/>
  <c r="K43" i="28"/>
  <c r="K42" i="28"/>
  <c r="J41" i="28"/>
  <c r="H41" i="28"/>
  <c r="J40" i="28"/>
  <c r="J39" i="28"/>
  <c r="H39" i="28"/>
  <c r="K38" i="28"/>
  <c r="K37" i="28"/>
  <c r="K108" i="28" s="1"/>
  <c r="J37" i="28"/>
  <c r="J86" i="28" s="1"/>
  <c r="I37" i="28"/>
  <c r="I108" i="28" s="1"/>
  <c r="H37" i="28"/>
  <c r="H108" i="28" s="1"/>
  <c r="G37" i="28"/>
  <c r="G47" i="28" s="1"/>
  <c r="K36" i="28"/>
  <c r="K51" i="28" s="1"/>
  <c r="J36" i="28"/>
  <c r="J51" i="28" s="1"/>
  <c r="I36" i="28"/>
  <c r="I117" i="28" s="1"/>
  <c r="H36" i="28"/>
  <c r="H51" i="28" s="1"/>
  <c r="K33" i="28"/>
  <c r="K29" i="28"/>
  <c r="J29" i="28"/>
  <c r="J30" i="28" s="1"/>
  <c r="I29" i="28"/>
  <c r="H29" i="28"/>
  <c r="K20" i="28"/>
  <c r="J19" i="28"/>
  <c r="J22" i="28" s="1"/>
  <c r="H19" i="28"/>
  <c r="H22" i="28" s="1"/>
  <c r="H24" i="28" s="1"/>
  <c r="G17" i="28"/>
  <c r="G16" i="28"/>
  <c r="I13" i="28"/>
  <c r="K11" i="28"/>
  <c r="K9" i="28"/>
  <c r="K61" i="28" s="1"/>
  <c r="I9" i="28"/>
  <c r="G9" i="28"/>
  <c r="A3" i="28"/>
  <c r="AC30" i="12" l="1"/>
  <c r="AA30" i="12"/>
  <c r="AA56" i="12" s="1"/>
  <c r="T30" i="12"/>
  <c r="K80" i="28"/>
  <c r="I19" i="28"/>
  <c r="I22" i="28" s="1"/>
  <c r="I102" i="28"/>
  <c r="J108" i="28"/>
  <c r="J117" i="28"/>
  <c r="J77" i="28"/>
  <c r="J99" i="28" s="1"/>
  <c r="K117" i="28"/>
  <c r="G19" i="28"/>
  <c r="G22" i="28" s="1"/>
  <c r="G48" i="28" s="1"/>
  <c r="G52" i="28" s="1"/>
  <c r="I80" i="28"/>
  <c r="I61" i="28"/>
  <c r="K72" i="28"/>
  <c r="H97" i="28"/>
  <c r="H102" i="28" s="1"/>
  <c r="K86" i="28"/>
  <c r="J47" i="28"/>
  <c r="J116" i="28" s="1"/>
  <c r="H47" i="28"/>
  <c r="H64" i="28" s="1"/>
  <c r="K68" i="28"/>
  <c r="K19" i="28"/>
  <c r="K22" i="28" s="1"/>
  <c r="K77" i="28"/>
  <c r="K99" i="28" s="1"/>
  <c r="I47" i="28"/>
  <c r="I55" i="28" s="1"/>
  <c r="B1897" i="19"/>
  <c r="G116" i="28"/>
  <c r="G58" i="28"/>
  <c r="G55" i="28"/>
  <c r="J102" i="28"/>
  <c r="K102" i="28"/>
  <c r="I51" i="28"/>
  <c r="J80" i="28"/>
  <c r="H77" i="28"/>
  <c r="H99" i="28" s="1"/>
  <c r="H117" i="28"/>
  <c r="K30" i="28"/>
  <c r="K47" i="28" s="1"/>
  <c r="I77" i="28"/>
  <c r="I99" i="28" s="1"/>
  <c r="J58" i="28" l="1"/>
  <c r="I116" i="28"/>
  <c r="I76" i="28"/>
  <c r="I78" i="28" s="1"/>
  <c r="I64" i="28"/>
  <c r="I48" i="28"/>
  <c r="I52" i="28" s="1"/>
  <c r="I58" i="28"/>
  <c r="J64" i="28"/>
  <c r="J55" i="28"/>
  <c r="J76" i="28"/>
  <c r="J78" i="28" s="1"/>
  <c r="H55" i="28"/>
  <c r="J48" i="28"/>
  <c r="J52" i="28" s="1"/>
  <c r="H116" i="28"/>
  <c r="H48" i="28"/>
  <c r="H52" i="28" s="1"/>
  <c r="H58" i="28"/>
  <c r="C1899" i="19"/>
  <c r="B1898" i="19"/>
  <c r="K76" i="28"/>
  <c r="K116" i="28"/>
  <c r="K55" i="28"/>
  <c r="K64" i="28"/>
  <c r="K58" i="28"/>
  <c r="K48" i="28"/>
  <c r="K52" i="28" s="1"/>
  <c r="I81" i="28"/>
  <c r="I85" i="28"/>
  <c r="H76" i="28"/>
  <c r="I98" i="28" l="1"/>
  <c r="J98" i="28"/>
  <c r="J100" i="28" s="1"/>
  <c r="J81" i="28"/>
  <c r="J85" i="28"/>
  <c r="J84" i="28" s="1"/>
  <c r="B1899" i="19"/>
  <c r="I84" i="28"/>
  <c r="H98" i="28"/>
  <c r="H81" i="28"/>
  <c r="H85" i="28"/>
  <c r="H78" i="28"/>
  <c r="K85" i="28"/>
  <c r="K81" i="28"/>
  <c r="K98" i="28"/>
  <c r="K78" i="28"/>
  <c r="J107" i="28"/>
  <c r="J103" i="28"/>
  <c r="I100" i="28"/>
  <c r="I107" i="28"/>
  <c r="I103" i="28"/>
  <c r="B1900" i="19" l="1"/>
  <c r="I106" i="28"/>
  <c r="K107" i="28"/>
  <c r="K103" i="28"/>
  <c r="K100" i="28"/>
  <c r="K84" i="28"/>
  <c r="H84" i="28"/>
  <c r="J106" i="28"/>
  <c r="H107" i="28"/>
  <c r="H103" i="28"/>
  <c r="H100" i="28"/>
  <c r="J87" i="28"/>
  <c r="J89" i="28"/>
  <c r="J91" i="28" s="1"/>
  <c r="I87" i="28"/>
  <c r="I89" i="28"/>
  <c r="I91" i="28" s="1"/>
  <c r="B1901" i="19" l="1"/>
  <c r="K87" i="28"/>
  <c r="K89" i="28"/>
  <c r="I90" i="28"/>
  <c r="I92" i="28"/>
  <c r="H106" i="28"/>
  <c r="J111" i="28"/>
  <c r="J113" i="28" s="1"/>
  <c r="J109" i="28"/>
  <c r="K106" i="28"/>
  <c r="I111" i="28"/>
  <c r="I113" i="28" s="1"/>
  <c r="I109" i="28"/>
  <c r="J90" i="28"/>
  <c r="J92" i="28"/>
  <c r="H87" i="28"/>
  <c r="H89" i="28"/>
  <c r="H91" i="28" s="1"/>
  <c r="B1902" i="19" l="1"/>
  <c r="H111" i="28"/>
  <c r="H109" i="28"/>
  <c r="H90" i="28"/>
  <c r="H92" i="28"/>
  <c r="K90" i="28"/>
  <c r="K92" i="28"/>
  <c r="I112" i="28"/>
  <c r="I114" i="28"/>
  <c r="K111" i="28"/>
  <c r="K109" i="28"/>
  <c r="K91" i="28"/>
  <c r="J112" i="28"/>
  <c r="J114" i="28"/>
  <c r="B1903" i="19" l="1"/>
  <c r="K112" i="28"/>
  <c r="K114" i="28"/>
  <c r="K113" i="28"/>
  <c r="H112" i="28"/>
  <c r="H114" i="28"/>
  <c r="H113" i="28"/>
  <c r="B1904" i="19" l="1"/>
  <c r="C1905" i="19"/>
  <c r="G47" i="27"/>
  <c r="G43" i="27"/>
  <c r="I37" i="27"/>
  <c r="G35" i="27"/>
  <c r="I28" i="27"/>
  <c r="I48" i="27" s="1"/>
  <c r="I24" i="27"/>
  <c r="G11" i="27"/>
  <c r="G24" i="27" s="1"/>
  <c r="G48" i="27" l="1"/>
  <c r="B1905" i="19"/>
  <c r="C1906" i="19"/>
  <c r="G50" i="27"/>
  <c r="G55" i="27" s="1"/>
  <c r="I50" i="27"/>
  <c r="I55" i="27" s="1"/>
  <c r="C1907" i="19" l="1"/>
  <c r="B1906" i="19"/>
  <c r="H92" i="15"/>
  <c r="B1907" i="19" l="1"/>
  <c r="B1908" i="19" l="1"/>
  <c r="C1909" i="19"/>
  <c r="H38" i="6"/>
  <c r="B1909" i="19" l="1"/>
  <c r="C1712" i="19"/>
  <c r="B1712" i="19" s="1"/>
  <c r="B1710" i="19"/>
  <c r="B1910" i="19" l="1"/>
  <c r="B1713" i="19"/>
  <c r="B1911" i="19" l="1"/>
  <c r="B1714" i="19"/>
  <c r="C1715" i="19"/>
  <c r="B1912" i="19" l="1"/>
  <c r="B1715" i="19"/>
  <c r="H105" i="15"/>
  <c r="C1665" i="19"/>
  <c r="C1666" i="19" s="1"/>
  <c r="C1659" i="19"/>
  <c r="C1660" i="19" s="1"/>
  <c r="B1660" i="19" s="1"/>
  <c r="B1664" i="19"/>
  <c r="B1663" i="19"/>
  <c r="B1662" i="19"/>
  <c r="B1661" i="19"/>
  <c r="B1913" i="19" l="1"/>
  <c r="B1716" i="19"/>
  <c r="C1667" i="19"/>
  <c r="B1666" i="19"/>
  <c r="B1665" i="19"/>
  <c r="B1914" i="19" l="1"/>
  <c r="B1717" i="19"/>
  <c r="B1667" i="19"/>
  <c r="B1915" i="19" l="1"/>
  <c r="C1916" i="19"/>
  <c r="B1718" i="19"/>
  <c r="B1668" i="19"/>
  <c r="B1916" i="19" l="1"/>
  <c r="C1720" i="19"/>
  <c r="B1719" i="19"/>
  <c r="B1669" i="19"/>
  <c r="B1917" i="19" l="1"/>
  <c r="B1720" i="19"/>
  <c r="C1671" i="19"/>
  <c r="B1670" i="19"/>
  <c r="B1918" i="19" l="1"/>
  <c r="B1721" i="19"/>
  <c r="B1671" i="19"/>
  <c r="C1672" i="19"/>
  <c r="B1612" i="19"/>
  <c r="B1919" i="19" l="1"/>
  <c r="C1920" i="19"/>
  <c r="B1722" i="19"/>
  <c r="C1723" i="19"/>
  <c r="B1672" i="19"/>
  <c r="B1920" i="19" l="1"/>
  <c r="B1723" i="19"/>
  <c r="B1673" i="19"/>
  <c r="B1613" i="19"/>
  <c r="B1921" i="19" l="1"/>
  <c r="C1922" i="19"/>
  <c r="C1725" i="19"/>
  <c r="B1724" i="19"/>
  <c r="C1675" i="19"/>
  <c r="B1674" i="19"/>
  <c r="C1615" i="19"/>
  <c r="B1614" i="19"/>
  <c r="C1923" i="19" l="1"/>
  <c r="B1922" i="19"/>
  <c r="B1725" i="19"/>
  <c r="B1675" i="19"/>
  <c r="C1676" i="19"/>
  <c r="B1615" i="19"/>
  <c r="B1924" i="19" l="1"/>
  <c r="B1923" i="19"/>
  <c r="B1726" i="19"/>
  <c r="C1727" i="19"/>
  <c r="C1677" i="19"/>
  <c r="B1676" i="19"/>
  <c r="B1616" i="19"/>
  <c r="C1617" i="19"/>
  <c r="B1727" i="19" l="1"/>
  <c r="C1678" i="19"/>
  <c r="B1677" i="19"/>
  <c r="B1617" i="19"/>
  <c r="H78" i="6"/>
  <c r="B1728" i="19" l="1"/>
  <c r="B1678" i="19"/>
  <c r="C1619" i="19"/>
  <c r="B1618" i="19"/>
  <c r="B1570" i="19"/>
  <c r="C1575" i="19"/>
  <c r="C1576" i="19" s="1"/>
  <c r="C1577" i="19" s="1"/>
  <c r="C1580" i="19" s="1"/>
  <c r="C1589" i="19" s="1"/>
  <c r="C1595" i="19" s="1"/>
  <c r="C1596" i="19" s="1"/>
  <c r="C1597" i="19" s="1"/>
  <c r="C1600" i="19" s="1"/>
  <c r="C1602" i="19" s="1"/>
  <c r="C1605" i="19" s="1"/>
  <c r="C1606" i="19" s="1"/>
  <c r="C1609" i="19" s="1"/>
  <c r="C1610" i="19" s="1"/>
  <c r="B1611" i="19" s="1"/>
  <c r="B1729" i="19" l="1"/>
  <c r="B1679" i="19"/>
  <c r="C1680" i="19"/>
  <c r="C1620" i="19"/>
  <c r="B1619" i="19"/>
  <c r="B1585" i="19"/>
  <c r="B1602" i="19"/>
  <c r="B1576" i="19"/>
  <c r="B1584" i="19"/>
  <c r="B1592" i="19"/>
  <c r="B1600" i="19"/>
  <c r="B1608" i="19"/>
  <c r="B1577" i="19"/>
  <c r="B1593" i="19"/>
  <c r="B1601" i="19"/>
  <c r="B1609" i="19"/>
  <c r="B1578" i="19"/>
  <c r="B1586" i="19"/>
  <c r="B1610" i="19"/>
  <c r="B1571" i="19"/>
  <c r="B1587" i="19"/>
  <c r="B1572" i="19"/>
  <c r="B1573" i="19"/>
  <c r="B1597" i="19"/>
  <c r="B1606" i="19"/>
  <c r="B1594" i="19"/>
  <c r="B1579" i="19"/>
  <c r="B1595" i="19"/>
  <c r="B1603" i="19"/>
  <c r="B1580" i="19"/>
  <c r="B1588" i="19"/>
  <c r="B1596" i="19"/>
  <c r="B1604" i="19"/>
  <c r="B1581" i="19"/>
  <c r="B1589" i="19"/>
  <c r="B1605" i="19"/>
  <c r="B1574" i="19"/>
  <c r="B1582" i="19"/>
  <c r="B1590" i="19"/>
  <c r="B1598" i="19"/>
  <c r="B1575" i="19"/>
  <c r="B1583" i="19"/>
  <c r="B1591" i="19"/>
  <c r="B1599" i="19"/>
  <c r="B1607" i="19"/>
  <c r="B1730" i="19" l="1"/>
  <c r="B1680" i="19"/>
  <c r="B1620" i="19"/>
  <c r="L26" i="24"/>
  <c r="T26" i="24" s="1"/>
  <c r="L53" i="24" l="1"/>
  <c r="B1731" i="19"/>
  <c r="C1732" i="19"/>
  <c r="C1682" i="19"/>
  <c r="B1681" i="19"/>
  <c r="L27" i="24"/>
  <c r="C1622" i="19"/>
  <c r="B1621" i="19"/>
  <c r="C1733" i="19" l="1"/>
  <c r="B1732" i="19"/>
  <c r="B1682" i="19"/>
  <c r="B1622" i="19"/>
  <c r="M51" i="3"/>
  <c r="B1733" i="19" l="1"/>
  <c r="B1683" i="19"/>
  <c r="B1623" i="19"/>
  <c r="M50" i="3"/>
  <c r="B1734" i="19" l="1"/>
  <c r="B1684" i="19"/>
  <c r="B1624" i="19"/>
  <c r="M53" i="3"/>
  <c r="B1568" i="19"/>
  <c r="C1525" i="19"/>
  <c r="C1526" i="19" s="1"/>
  <c r="B1526" i="19" s="1"/>
  <c r="B1735" i="19" l="1"/>
  <c r="C1736" i="19"/>
  <c r="C1686" i="19"/>
  <c r="B1685" i="19"/>
  <c r="B1625" i="19"/>
  <c r="C1626" i="19"/>
  <c r="B1525" i="19"/>
  <c r="B1736" i="19" l="1"/>
  <c r="B1686" i="19"/>
  <c r="B1626" i="19"/>
  <c r="C1528" i="19"/>
  <c r="B1527" i="19"/>
  <c r="B1737" i="19" l="1"/>
  <c r="B1687" i="19"/>
  <c r="C1688" i="19"/>
  <c r="B1627" i="19"/>
  <c r="C1628" i="19"/>
  <c r="C1529" i="19"/>
  <c r="B1528" i="19"/>
  <c r="B1738" i="19" l="1"/>
  <c r="C1689" i="19"/>
  <c r="B1688" i="19"/>
  <c r="B1628" i="19"/>
  <c r="B1529" i="19"/>
  <c r="B1739" i="19" l="1"/>
  <c r="C1740" i="19"/>
  <c r="B1689" i="19"/>
  <c r="B1629" i="19"/>
  <c r="B1530" i="19"/>
  <c r="B1504" i="19"/>
  <c r="C1505" i="19"/>
  <c r="B1740" i="19" l="1"/>
  <c r="B1690" i="19"/>
  <c r="B1630" i="19"/>
  <c r="B1531" i="19"/>
  <c r="B1505" i="19"/>
  <c r="D157" i="6"/>
  <c r="C1742" i="19" l="1"/>
  <c r="B1741" i="19"/>
  <c r="B1691" i="19"/>
  <c r="B1631" i="19"/>
  <c r="B1532" i="19"/>
  <c r="C1533" i="19"/>
  <c r="B1506" i="19"/>
  <c r="C1507" i="19"/>
  <c r="B1498" i="19"/>
  <c r="B1497" i="19"/>
  <c r="B1494" i="19"/>
  <c r="B1492" i="19"/>
  <c r="B1491" i="19"/>
  <c r="B1490" i="19"/>
  <c r="B1486" i="19"/>
  <c r="B1484" i="19"/>
  <c r="B1481" i="19"/>
  <c r="B1479" i="19"/>
  <c r="B1478" i="19"/>
  <c r="B1476" i="19"/>
  <c r="B1474" i="19"/>
  <c r="B1473" i="19"/>
  <c r="B1472" i="19"/>
  <c r="B1471" i="19"/>
  <c r="B1469" i="19"/>
  <c r="B1468" i="19"/>
  <c r="B1467" i="19"/>
  <c r="B1466" i="19"/>
  <c r="B1465" i="19"/>
  <c r="B1464" i="19"/>
  <c r="B1463" i="19"/>
  <c r="B1462" i="19"/>
  <c r="B1461" i="19"/>
  <c r="B1460" i="19"/>
  <c r="B1459" i="19"/>
  <c r="B1458" i="19"/>
  <c r="B1457" i="19"/>
  <c r="C1499" i="19"/>
  <c r="C1502" i="19" s="1"/>
  <c r="C1495" i="19"/>
  <c r="C1496" i="19" s="1"/>
  <c r="B1496" i="19" s="1"/>
  <c r="C1493" i="19"/>
  <c r="B1493" i="19" s="1"/>
  <c r="C1487" i="19"/>
  <c r="C1488" i="19" s="1"/>
  <c r="C1489" i="19" s="1"/>
  <c r="B1489" i="19" s="1"/>
  <c r="C1485" i="19"/>
  <c r="B1485" i="19" s="1"/>
  <c r="C1482" i="19"/>
  <c r="C1483" i="19" s="1"/>
  <c r="B1483" i="19" s="1"/>
  <c r="C1480" i="19"/>
  <c r="B1480" i="19" s="1"/>
  <c r="C1477" i="19"/>
  <c r="B1477" i="19" s="1"/>
  <c r="C1475" i="19"/>
  <c r="B1475" i="19" s="1"/>
  <c r="C1470" i="19"/>
  <c r="B1470" i="19" s="1"/>
  <c r="B1742" i="19" l="1"/>
  <c r="B1692" i="19"/>
  <c r="B1632" i="19"/>
  <c r="B1533" i="19"/>
  <c r="B1502" i="19"/>
  <c r="C1503" i="19"/>
  <c r="B1503" i="19" s="1"/>
  <c r="B1507" i="19"/>
  <c r="B1482" i="19"/>
  <c r="B1488" i="19"/>
  <c r="B1499" i="19"/>
  <c r="B1500" i="19"/>
  <c r="B1501" i="19"/>
  <c r="B1487" i="19"/>
  <c r="B1495" i="19"/>
  <c r="L61" i="3"/>
  <c r="B1743" i="19" l="1"/>
  <c r="C1694" i="19"/>
  <c r="B1693" i="19"/>
  <c r="B1633" i="19"/>
  <c r="B1534" i="19"/>
  <c r="B1508" i="19"/>
  <c r="C1745" i="19" l="1"/>
  <c r="B1744" i="19"/>
  <c r="C1695" i="19"/>
  <c r="B1694" i="19"/>
  <c r="C1635" i="19"/>
  <c r="B1634" i="19"/>
  <c r="C1536" i="19"/>
  <c r="B1535" i="19"/>
  <c r="B1509" i="19"/>
  <c r="C1510" i="19"/>
  <c r="B1745" i="19" l="1"/>
  <c r="B1695" i="19"/>
  <c r="C1696" i="19"/>
  <c r="B1635" i="19"/>
  <c r="C1537" i="19"/>
  <c r="B1536" i="19"/>
  <c r="B1510" i="19"/>
  <c r="K590" i="19"/>
  <c r="B1440" i="19"/>
  <c r="B1439" i="19"/>
  <c r="B1433" i="19"/>
  <c r="B1434" i="19"/>
  <c r="B1435" i="19"/>
  <c r="B1436" i="19"/>
  <c r="B1437" i="19"/>
  <c r="B1438" i="19"/>
  <c r="B1441" i="19"/>
  <c r="B1442" i="19"/>
  <c r="B1443" i="19"/>
  <c r="B1444" i="19"/>
  <c r="B1445" i="19"/>
  <c r="B1446" i="19"/>
  <c r="B1447" i="19"/>
  <c r="B1448" i="19"/>
  <c r="B1449" i="19"/>
  <c r="B1450" i="19"/>
  <c r="B1451" i="19"/>
  <c r="B1452" i="19"/>
  <c r="B1453" i="19"/>
  <c r="B1454" i="19"/>
  <c r="B1455" i="19"/>
  <c r="B1746" i="19" l="1"/>
  <c r="C1747" i="19"/>
  <c r="B1696" i="19"/>
  <c r="B1636" i="19"/>
  <c r="C1637" i="19"/>
  <c r="B1537" i="19"/>
  <c r="B1511" i="19"/>
  <c r="C1512" i="19"/>
  <c r="M14" i="33"/>
  <c r="N15" i="24" l="1"/>
  <c r="N27" i="24" s="1"/>
  <c r="B1747" i="19"/>
  <c r="C1748" i="19"/>
  <c r="B1697" i="19"/>
  <c r="B1637" i="19"/>
  <c r="B1538" i="19"/>
  <c r="B1512" i="19"/>
  <c r="H12" i="6"/>
  <c r="H11" i="6"/>
  <c r="B1748" i="19" l="1"/>
  <c r="C1699" i="19"/>
  <c r="B1698" i="19"/>
  <c r="B1638" i="19"/>
  <c r="B1539" i="19"/>
  <c r="B1513" i="19"/>
  <c r="H58" i="26"/>
  <c r="I58" i="26" s="1"/>
  <c r="H53" i="26"/>
  <c r="I53" i="26" s="1"/>
  <c r="L53" i="26" s="1"/>
  <c r="M53" i="26" s="1"/>
  <c r="I52" i="26"/>
  <c r="L52" i="26" s="1"/>
  <c r="M52" i="26" s="1"/>
  <c r="I51" i="26"/>
  <c r="L51" i="26" s="1"/>
  <c r="M51" i="26" s="1"/>
  <c r="I50" i="26"/>
  <c r="L50" i="26" s="1"/>
  <c r="M50" i="26" s="1"/>
  <c r="I49" i="26"/>
  <c r="L49" i="26" s="1"/>
  <c r="M49" i="26" s="1"/>
  <c r="I48" i="26"/>
  <c r="L48" i="26" s="1"/>
  <c r="M48" i="26" s="1"/>
  <c r="I47" i="26"/>
  <c r="L47" i="26" s="1"/>
  <c r="M47" i="26" s="1"/>
  <c r="I46" i="26"/>
  <c r="L46" i="26" s="1"/>
  <c r="M46" i="26" s="1"/>
  <c r="I45" i="26"/>
  <c r="L45" i="26" s="1"/>
  <c r="M45" i="26" s="1"/>
  <c r="H44" i="26"/>
  <c r="I44" i="26" s="1"/>
  <c r="H43" i="26"/>
  <c r="I43" i="26" s="1"/>
  <c r="L43" i="26" s="1"/>
  <c r="M43" i="26" s="1"/>
  <c r="H42" i="26"/>
  <c r="I42" i="26" s="1"/>
  <c r="L42" i="26" s="1"/>
  <c r="M42" i="26" s="1"/>
  <c r="I41" i="26"/>
  <c r="L41" i="26" s="1"/>
  <c r="M41" i="26" s="1"/>
  <c r="H40" i="26"/>
  <c r="I40" i="26" s="1"/>
  <c r="L40" i="26" s="1"/>
  <c r="M40" i="26" s="1"/>
  <c r="I39" i="26"/>
  <c r="L39" i="26" s="1"/>
  <c r="M39" i="26" s="1"/>
  <c r="I38" i="26"/>
  <c r="L38" i="26" s="1"/>
  <c r="M38" i="26" s="1"/>
  <c r="H37" i="26"/>
  <c r="I37" i="26" s="1"/>
  <c r="L37" i="26" s="1"/>
  <c r="M37" i="26" s="1"/>
  <c r="I36" i="26"/>
  <c r="L36" i="26" s="1"/>
  <c r="M36" i="26" s="1"/>
  <c r="H35" i="26"/>
  <c r="I35" i="26" s="1"/>
  <c r="L35" i="26" s="1"/>
  <c r="M35" i="26" s="1"/>
  <c r="H34" i="26"/>
  <c r="I34" i="26" s="1"/>
  <c r="L34" i="26" s="1"/>
  <c r="M34" i="26" s="1"/>
  <c r="G33" i="26"/>
  <c r="I33" i="26" s="1"/>
  <c r="I32" i="26"/>
  <c r="L32" i="26" s="1"/>
  <c r="H27" i="26"/>
  <c r="I27" i="26" s="1"/>
  <c r="L27" i="26" s="1"/>
  <c r="G27" i="26"/>
  <c r="G26" i="26"/>
  <c r="G28" i="26" s="1"/>
  <c r="I28" i="26" s="1"/>
  <c r="H25" i="26"/>
  <c r="I25" i="26" s="1"/>
  <c r="I23" i="26"/>
  <c r="L23" i="26" s="1"/>
  <c r="I22" i="26"/>
  <c r="L22" i="26" s="1"/>
  <c r="G21" i="26"/>
  <c r="H21" i="26" s="1"/>
  <c r="K20" i="26"/>
  <c r="K29" i="26" s="1"/>
  <c r="G20" i="26"/>
  <c r="I19" i="26"/>
  <c r="L19" i="26" s="1"/>
  <c r="I18" i="26"/>
  <c r="M18" i="26" s="1"/>
  <c r="H17" i="26"/>
  <c r="I17" i="26" s="1"/>
  <c r="L17" i="26" s="1"/>
  <c r="I16" i="26"/>
  <c r="L16" i="26" s="1"/>
  <c r="H15" i="26"/>
  <c r="I15" i="26" s="1"/>
  <c r="I14" i="26"/>
  <c r="L14" i="26" s="1"/>
  <c r="H13" i="26"/>
  <c r="I13" i="26" s="1"/>
  <c r="I11" i="26"/>
  <c r="I10" i="26"/>
  <c r="M10" i="26" s="1"/>
  <c r="I9" i="26"/>
  <c r="L9" i="26" s="1"/>
  <c r="I8" i="26"/>
  <c r="M16" i="26" l="1"/>
  <c r="M9" i="26"/>
  <c r="G29" i="26"/>
  <c r="H26" i="26"/>
  <c r="I26" i="26" s="1"/>
  <c r="M26" i="26" s="1"/>
  <c r="M14" i="26"/>
  <c r="B1749" i="19"/>
  <c r="B1699" i="19"/>
  <c r="C1700" i="19"/>
  <c r="M27" i="26"/>
  <c r="B1639" i="19"/>
  <c r="B1540" i="19"/>
  <c r="C1541" i="19"/>
  <c r="B1514" i="19"/>
  <c r="H54" i="26"/>
  <c r="H20" i="26"/>
  <c r="I20" i="26" s="1"/>
  <c r="I21" i="26"/>
  <c r="M15" i="26"/>
  <c r="L15" i="26"/>
  <c r="M13" i="26"/>
  <c r="L13" i="26"/>
  <c r="M25" i="26"/>
  <c r="L25" i="26"/>
  <c r="M32" i="26"/>
  <c r="M28" i="26"/>
  <c r="L28" i="26"/>
  <c r="I54" i="26"/>
  <c r="L33" i="26"/>
  <c r="M33" i="26" s="1"/>
  <c r="K44" i="26"/>
  <c r="K54" i="26" s="1"/>
  <c r="K56" i="26" s="1"/>
  <c r="K60" i="26" s="1"/>
  <c r="L10" i="26"/>
  <c r="M17" i="26"/>
  <c r="L8" i="26"/>
  <c r="L18" i="26"/>
  <c r="M8" i="26"/>
  <c r="H12" i="26"/>
  <c r="G54" i="26"/>
  <c r="G56" i="26" s="1"/>
  <c r="H24" i="26"/>
  <c r="I24" i="26" s="1"/>
  <c r="B1432" i="19"/>
  <c r="B1431" i="19"/>
  <c r="B1430" i="19"/>
  <c r="B1429" i="19"/>
  <c r="B1428" i="19"/>
  <c r="B1427" i="19"/>
  <c r="B1426" i="19"/>
  <c r="B1425" i="19"/>
  <c r="B1424" i="19"/>
  <c r="B1423" i="19"/>
  <c r="B1422" i="19"/>
  <c r="B1421" i="19"/>
  <c r="B1420" i="19"/>
  <c r="B1419" i="19"/>
  <c r="B1418" i="19"/>
  <c r="B1417" i="19"/>
  <c r="B1416" i="19"/>
  <c r="B1415" i="19"/>
  <c r="B1414" i="19"/>
  <c r="B1413" i="19"/>
  <c r="B1412" i="19"/>
  <c r="B1411" i="19"/>
  <c r="B1410" i="19"/>
  <c r="B1409" i="19"/>
  <c r="B1408" i="19"/>
  <c r="B1407" i="19"/>
  <c r="B1406" i="19"/>
  <c r="B1405" i="19"/>
  <c r="B1404" i="19"/>
  <c r="B1403" i="19"/>
  <c r="B1402" i="19"/>
  <c r="B1401" i="19"/>
  <c r="B1400" i="19"/>
  <c r="B1399" i="19"/>
  <c r="B1398" i="19"/>
  <c r="B1397" i="19"/>
  <c r="B1396" i="19"/>
  <c r="B1395" i="19"/>
  <c r="B1394" i="19"/>
  <c r="B1393" i="19"/>
  <c r="B1392" i="19"/>
  <c r="B1391" i="19"/>
  <c r="B1390" i="19"/>
  <c r="B1389" i="19"/>
  <c r="B1388" i="19"/>
  <c r="B1387" i="19"/>
  <c r="B1386" i="19"/>
  <c r="B1385" i="19"/>
  <c r="B1384" i="19"/>
  <c r="B1383" i="19"/>
  <c r="B1382" i="19"/>
  <c r="B1381" i="19"/>
  <c r="B1380" i="19"/>
  <c r="B1379" i="19"/>
  <c r="B1378" i="19"/>
  <c r="B1377" i="19"/>
  <c r="B1376" i="19"/>
  <c r="B1375" i="19"/>
  <c r="B1374" i="19"/>
  <c r="B1373" i="19"/>
  <c r="B1372" i="19"/>
  <c r="B1371" i="19"/>
  <c r="B1370" i="19"/>
  <c r="B1369" i="19"/>
  <c r="B1368" i="19"/>
  <c r="B1367" i="19"/>
  <c r="B1366" i="19"/>
  <c r="B1365" i="19"/>
  <c r="B1364" i="19"/>
  <c r="B1363" i="19"/>
  <c r="B1362" i="19"/>
  <c r="B1361" i="19"/>
  <c r="B1360" i="19"/>
  <c r="B1359" i="19"/>
  <c r="B1358" i="19"/>
  <c r="B1357" i="19"/>
  <c r="B1356" i="19"/>
  <c r="B1355" i="19"/>
  <c r="B1354" i="19"/>
  <c r="B1353" i="19"/>
  <c r="B1352" i="19"/>
  <c r="B1351" i="19"/>
  <c r="B1350" i="19"/>
  <c r="L26" i="26" l="1"/>
  <c r="B1750" i="19"/>
  <c r="C1751" i="19"/>
  <c r="B1700" i="19"/>
  <c r="B1640" i="19"/>
  <c r="B1541" i="19"/>
  <c r="B1515" i="19"/>
  <c r="M20" i="26"/>
  <c r="L20" i="26"/>
  <c r="I12" i="26"/>
  <c r="H29" i="26"/>
  <c r="H56" i="26" s="1"/>
  <c r="H60" i="26" s="1"/>
  <c r="L44" i="26"/>
  <c r="L54" i="26" s="1"/>
  <c r="M54" i="26" s="1"/>
  <c r="L24" i="26"/>
  <c r="M24" i="26"/>
  <c r="L21" i="26"/>
  <c r="M21" i="26"/>
  <c r="G60" i="26"/>
  <c r="B1751" i="19" l="1"/>
  <c r="B1701" i="19"/>
  <c r="B1641" i="19"/>
  <c r="C1642" i="19"/>
  <c r="B1542" i="19"/>
  <c r="C1543" i="19"/>
  <c r="B1516" i="19"/>
  <c r="I56" i="26"/>
  <c r="L12" i="26"/>
  <c r="L29" i="26" s="1"/>
  <c r="M29" i="26" s="1"/>
  <c r="M12" i="26"/>
  <c r="I29" i="26"/>
  <c r="B1752" i="19" l="1"/>
  <c r="B1702" i="19"/>
  <c r="B1642" i="19"/>
  <c r="B1543" i="19"/>
  <c r="B1517" i="19"/>
  <c r="C1518" i="19"/>
  <c r="I60" i="26"/>
  <c r="L56" i="26"/>
  <c r="M56" i="26" s="1"/>
  <c r="B1753" i="19" l="1"/>
  <c r="B1703" i="19"/>
  <c r="B1643" i="19"/>
  <c r="C1545" i="19"/>
  <c r="B1544" i="19"/>
  <c r="B1518" i="19"/>
  <c r="B1754" i="19" l="1"/>
  <c r="C1755" i="19"/>
  <c r="B1704" i="19"/>
  <c r="C1705" i="19"/>
  <c r="B1644" i="19"/>
  <c r="B1545" i="19"/>
  <c r="C1546" i="19"/>
  <c r="B1519" i="19"/>
  <c r="E109" i="15"/>
  <c r="E112" i="15" l="1"/>
  <c r="B1755" i="19"/>
  <c r="B1705" i="19"/>
  <c r="B1645" i="19"/>
  <c r="C1646" i="19"/>
  <c r="B1546" i="19"/>
  <c r="B1520" i="19"/>
  <c r="B1349" i="19"/>
  <c r="B1348" i="19"/>
  <c r="B1347" i="19"/>
  <c r="B1346" i="19"/>
  <c r="B1345" i="19"/>
  <c r="B1344" i="19"/>
  <c r="B1343" i="19"/>
  <c r="B1342" i="19"/>
  <c r="B1341" i="19"/>
  <c r="B1340" i="19"/>
  <c r="B1339" i="19"/>
  <c r="B1338" i="19"/>
  <c r="B1337" i="19"/>
  <c r="B1336" i="19"/>
  <c r="B1335" i="19"/>
  <c r="B1334" i="19"/>
  <c r="B1333" i="19"/>
  <c r="B1332" i="19"/>
  <c r="B1331" i="19"/>
  <c r="B1330" i="19"/>
  <c r="B1329" i="19"/>
  <c r="B1328" i="19"/>
  <c r="B1327" i="19"/>
  <c r="B1326" i="19"/>
  <c r="B1325" i="19"/>
  <c r="B1324" i="19"/>
  <c r="B1323" i="19"/>
  <c r="B1322" i="19"/>
  <c r="B1321" i="19"/>
  <c r="B1320" i="19"/>
  <c r="B1319" i="19"/>
  <c r="B1318" i="19"/>
  <c r="B1317" i="19"/>
  <c r="B1316" i="19"/>
  <c r="B1315" i="19"/>
  <c r="B1314" i="19"/>
  <c r="B1313" i="19"/>
  <c r="B1312" i="19"/>
  <c r="B1311" i="19"/>
  <c r="B1310" i="19"/>
  <c r="B1309" i="19"/>
  <c r="B1308" i="19"/>
  <c r="B1307" i="19"/>
  <c r="B1306" i="19"/>
  <c r="B1305" i="19"/>
  <c r="B1304" i="19"/>
  <c r="B1303" i="19"/>
  <c r="B1302" i="19"/>
  <c r="B1301" i="19"/>
  <c r="B1300" i="19"/>
  <c r="B1299" i="19"/>
  <c r="B1298" i="19"/>
  <c r="B1297" i="19"/>
  <c r="B1296" i="19"/>
  <c r="B1295" i="19"/>
  <c r="B1294" i="19"/>
  <c r="B1293" i="19"/>
  <c r="B1292" i="19"/>
  <c r="B1291" i="19"/>
  <c r="B1290" i="19"/>
  <c r="B1289" i="19"/>
  <c r="B1288" i="19"/>
  <c r="B1287" i="19"/>
  <c r="B1286" i="19"/>
  <c r="B1285" i="19"/>
  <c r="B1284" i="19"/>
  <c r="B1283" i="19"/>
  <c r="B1282" i="19"/>
  <c r="B1281" i="19"/>
  <c r="B1280" i="19"/>
  <c r="B1279" i="19"/>
  <c r="B1278" i="19"/>
  <c r="B1277" i="19"/>
  <c r="B1276" i="19"/>
  <c r="B1275" i="19"/>
  <c r="B1274" i="19"/>
  <c r="B1273" i="19"/>
  <c r="B1272" i="19"/>
  <c r="B1271" i="19"/>
  <c r="B1270" i="19"/>
  <c r="B1269" i="19"/>
  <c r="B1268" i="19"/>
  <c r="B1267" i="19"/>
  <c r="B1266" i="19"/>
  <c r="B1265" i="19"/>
  <c r="B1264" i="19"/>
  <c r="B1263" i="19"/>
  <c r="B1262" i="19"/>
  <c r="B1261" i="19"/>
  <c r="C1757" i="19" l="1"/>
  <c r="B1756" i="19"/>
  <c r="C1707" i="19"/>
  <c r="B1706" i="19"/>
  <c r="B1646" i="19"/>
  <c r="B1547" i="19"/>
  <c r="C1548" i="19"/>
  <c r="C1522" i="19"/>
  <c r="B1521" i="19"/>
  <c r="L60" i="24"/>
  <c r="B1757" i="19" l="1"/>
  <c r="B1707" i="19"/>
  <c r="B1647" i="19"/>
  <c r="B1548" i="19"/>
  <c r="B1522" i="19"/>
  <c r="B1758" i="19" l="1"/>
  <c r="B1708" i="19"/>
  <c r="B1648" i="19"/>
  <c r="B1549" i="19"/>
  <c r="C1550" i="19"/>
  <c r="B1524" i="19"/>
  <c r="B1523" i="19"/>
  <c r="H69" i="3"/>
  <c r="N65" i="3"/>
  <c r="H65" i="3"/>
  <c r="G65" i="3"/>
  <c r="M61" i="3"/>
  <c r="L60" i="3"/>
  <c r="I58" i="3"/>
  <c r="L58" i="3" s="1"/>
  <c r="J41" i="3"/>
  <c r="K41" i="3" s="1"/>
  <c r="K46" i="3" s="1"/>
  <c r="G41" i="3"/>
  <c r="G46" i="3" s="1"/>
  <c r="J29" i="3"/>
  <c r="L29" i="3" s="1"/>
  <c r="J27" i="3"/>
  <c r="L27" i="3" s="1"/>
  <c r="J26" i="3"/>
  <c r="L21" i="3"/>
  <c r="M60" i="3" l="1"/>
  <c r="H65" i="12"/>
  <c r="J46" i="3"/>
  <c r="B1759" i="19"/>
  <c r="B1709" i="19"/>
  <c r="C1650" i="19"/>
  <c r="B1649" i="19"/>
  <c r="B1550" i="19"/>
  <c r="L26" i="3"/>
  <c r="L46" i="3" s="1"/>
  <c r="J69" i="3"/>
  <c r="B1260" i="19"/>
  <c r="B1259" i="19"/>
  <c r="B1258" i="19"/>
  <c r="B1257" i="19"/>
  <c r="B1256" i="19"/>
  <c r="B1255" i="19"/>
  <c r="B1254" i="19"/>
  <c r="B1253" i="19"/>
  <c r="B1252" i="19"/>
  <c r="B1251" i="19"/>
  <c r="B1250" i="19"/>
  <c r="B1249" i="19"/>
  <c r="B1248" i="19"/>
  <c r="B1247" i="19"/>
  <c r="B1246" i="19"/>
  <c r="B1245" i="19"/>
  <c r="M65" i="12" l="1"/>
  <c r="H67" i="12"/>
  <c r="M46" i="3"/>
  <c r="B1760" i="19"/>
  <c r="B1650" i="19"/>
  <c r="C1552" i="19"/>
  <c r="B1551" i="19"/>
  <c r="N67" i="12" l="1"/>
  <c r="M67" i="12"/>
  <c r="B1761" i="19"/>
  <c r="B1711" i="19"/>
  <c r="B1651" i="19"/>
  <c r="B1552" i="19"/>
  <c r="H96" i="15"/>
  <c r="G96" i="15"/>
  <c r="B1244" i="19"/>
  <c r="B1243" i="19"/>
  <c r="B1242" i="19"/>
  <c r="B1241" i="19"/>
  <c r="B1240" i="19"/>
  <c r="B1239" i="19"/>
  <c r="B1238" i="19"/>
  <c r="B1237" i="19"/>
  <c r="B1236" i="19"/>
  <c r="B1235" i="19"/>
  <c r="B1234" i="19"/>
  <c r="B1233" i="19"/>
  <c r="B1232" i="19"/>
  <c r="B1231" i="19"/>
  <c r="B1230" i="19"/>
  <c r="B1229" i="19"/>
  <c r="B1228" i="19"/>
  <c r="B1227" i="19"/>
  <c r="B1226" i="19"/>
  <c r="B1225" i="19"/>
  <c r="B1224" i="19"/>
  <c r="B1223" i="19"/>
  <c r="B1222" i="19"/>
  <c r="B1221" i="19"/>
  <c r="B1220" i="19"/>
  <c r="B1219" i="19"/>
  <c r="B1218" i="19"/>
  <c r="B1217" i="19"/>
  <c r="B1216" i="19"/>
  <c r="B1215" i="19"/>
  <c r="B1214" i="19"/>
  <c r="B1213" i="19"/>
  <c r="B1212" i="19"/>
  <c r="B1211" i="19"/>
  <c r="B1210" i="19"/>
  <c r="B1209" i="19"/>
  <c r="B1208" i="19"/>
  <c r="B1207" i="19"/>
  <c r="B1206" i="19"/>
  <c r="B1205" i="19"/>
  <c r="B1204" i="19"/>
  <c r="B1203" i="19"/>
  <c r="B1202" i="19"/>
  <c r="B1201" i="19"/>
  <c r="B1200" i="19"/>
  <c r="B1199" i="19"/>
  <c r="B1198" i="19"/>
  <c r="B1197" i="19"/>
  <c r="B1196" i="19"/>
  <c r="B1195" i="19"/>
  <c r="B1194" i="19"/>
  <c r="B1193" i="19"/>
  <c r="B1192" i="19"/>
  <c r="B1191" i="19"/>
  <c r="B1190" i="19"/>
  <c r="B1189" i="19"/>
  <c r="B1188" i="19"/>
  <c r="B1187" i="19"/>
  <c r="B1186" i="19"/>
  <c r="B1185" i="19"/>
  <c r="B1184" i="19"/>
  <c r="B1183" i="19"/>
  <c r="B1182" i="19"/>
  <c r="B1181" i="19"/>
  <c r="B1180" i="19"/>
  <c r="B1762" i="19" l="1"/>
  <c r="B1652" i="19"/>
  <c r="B1553" i="19"/>
  <c r="K53" i="24"/>
  <c r="K9" i="24"/>
  <c r="Q9" i="24" l="1"/>
  <c r="P9" i="24"/>
  <c r="K55" i="24"/>
  <c r="AI55" i="24" s="1"/>
  <c r="AI58" i="24" s="1"/>
  <c r="T9" i="24"/>
  <c r="T70" i="24" s="1"/>
  <c r="K78" i="24"/>
  <c r="K81" i="24" s="1"/>
  <c r="W9" i="24"/>
  <c r="W26" i="24"/>
  <c r="X26" i="24" s="1"/>
  <c r="B1763" i="19"/>
  <c r="B1653" i="19"/>
  <c r="B1554" i="19"/>
  <c r="C1555" i="19"/>
  <c r="N60" i="24"/>
  <c r="Q60" i="24" l="1"/>
  <c r="P60" i="24"/>
  <c r="K64" i="24"/>
  <c r="T27" i="24"/>
  <c r="T30" i="24" s="1"/>
  <c r="T53" i="24"/>
  <c r="T55" i="24" s="1"/>
  <c r="W53" i="24"/>
  <c r="X9" i="24"/>
  <c r="X70" i="24" s="1"/>
  <c r="W70" i="24"/>
  <c r="C1765" i="19"/>
  <c r="C1766" i="19" s="1"/>
  <c r="C1767" i="19" s="1"/>
  <c r="C1768" i="19" s="1"/>
  <c r="C1771" i="19" s="1"/>
  <c r="C1772" i="19" s="1"/>
  <c r="C1774" i="19" s="1"/>
  <c r="C1777" i="19" s="1"/>
  <c r="C1778" i="19" s="1"/>
  <c r="C1781" i="19" s="1"/>
  <c r="C1784" i="19" s="1"/>
  <c r="C1785" i="19" s="1"/>
  <c r="C1791" i="19" s="1"/>
  <c r="C1792" i="19" s="1"/>
  <c r="C1794" i="19" s="1"/>
  <c r="C1795" i="19" s="1"/>
  <c r="C1797" i="19" s="1"/>
  <c r="C1798" i="19" s="1"/>
  <c r="C1799" i="19" s="1"/>
  <c r="C1802" i="19" s="1"/>
  <c r="B1764" i="19"/>
  <c r="B1654" i="19"/>
  <c r="C1655" i="19"/>
  <c r="L55" i="24"/>
  <c r="B1555" i="19"/>
  <c r="L30" i="24"/>
  <c r="K70" i="24"/>
  <c r="AA55" i="24" l="1"/>
  <c r="T67" i="24"/>
  <c r="T64" i="24"/>
  <c r="T56" i="24"/>
  <c r="T61" i="24" s="1"/>
  <c r="X53" i="24"/>
  <c r="W55" i="24"/>
  <c r="K67" i="24"/>
  <c r="L64" i="24"/>
  <c r="L67" i="24"/>
  <c r="B1802" i="19"/>
  <c r="B1765" i="19"/>
  <c r="B1655" i="19"/>
  <c r="C1656" i="19"/>
  <c r="L56" i="24"/>
  <c r="B1556" i="19"/>
  <c r="AA53" i="24" l="1"/>
  <c r="X67" i="24"/>
  <c r="X64" i="24"/>
  <c r="W64" i="24"/>
  <c r="W67" i="24"/>
  <c r="C1804" i="19"/>
  <c r="B1803" i="19"/>
  <c r="L61" i="24"/>
  <c r="B1766" i="19"/>
  <c r="B1656" i="19"/>
  <c r="B1557" i="19"/>
  <c r="C1558" i="19"/>
  <c r="G108" i="15"/>
  <c r="G109" i="15"/>
  <c r="F109" i="15"/>
  <c r="F108" i="15"/>
  <c r="G102" i="15"/>
  <c r="E102" i="15"/>
  <c r="H108" i="15" l="1"/>
  <c r="H109" i="15"/>
  <c r="F112" i="15"/>
  <c r="B1804" i="19"/>
  <c r="B1767" i="19"/>
  <c r="B1657" i="19"/>
  <c r="B1558" i="19"/>
  <c r="C1559" i="19"/>
  <c r="B1145" i="19"/>
  <c r="B1144" i="19"/>
  <c r="B1142" i="19"/>
  <c r="B1139" i="19"/>
  <c r="B1135" i="19"/>
  <c r="B1134" i="19"/>
  <c r="D1136" i="19"/>
  <c r="D1137" i="19" s="1"/>
  <c r="D1138" i="19" s="1"/>
  <c r="D1140" i="19" s="1"/>
  <c r="D1141" i="19" s="1"/>
  <c r="D1143" i="19" s="1"/>
  <c r="D1147" i="19" s="1"/>
  <c r="D1149" i="19" s="1"/>
  <c r="D1150" i="19" s="1"/>
  <c r="D1151" i="19" s="1"/>
  <c r="D1153" i="19" s="1"/>
  <c r="D1154" i="19" s="1"/>
  <c r="D1157" i="19" s="1"/>
  <c r="D1158" i="19" s="1"/>
  <c r="D1159" i="19" s="1"/>
  <c r="D1160" i="19" s="1"/>
  <c r="D1161" i="19" s="1"/>
  <c r="D1164" i="19" s="1"/>
  <c r="D1166" i="19" s="1"/>
  <c r="D1167" i="19" s="1"/>
  <c r="D1168" i="19" s="1"/>
  <c r="D1169" i="19" s="1"/>
  <c r="D1170" i="19" s="1"/>
  <c r="D1171" i="19" s="1"/>
  <c r="D1175" i="19" s="1"/>
  <c r="D1176" i="19" s="1"/>
  <c r="D1177" i="19" s="1"/>
  <c r="D1178" i="19" s="1"/>
  <c r="D1179" i="19" s="1"/>
  <c r="B1179" i="19" s="1"/>
  <c r="C1161" i="19"/>
  <c r="C1162" i="19" s="1"/>
  <c r="C1165" i="19" s="1"/>
  <c r="C1166" i="19" s="1"/>
  <c r="C1169" i="19" s="1"/>
  <c r="C1170" i="19" s="1"/>
  <c r="C1175" i="19" s="1"/>
  <c r="C1159" i="19"/>
  <c r="H112" i="15" l="1"/>
  <c r="B1805" i="19"/>
  <c r="B1768" i="19"/>
  <c r="B1658" i="19"/>
  <c r="B1559" i="19"/>
  <c r="B1141" i="19"/>
  <c r="B1140" i="19"/>
  <c r="B1143" i="19"/>
  <c r="B1136" i="19"/>
  <c r="B1137" i="19"/>
  <c r="B1138" i="19"/>
  <c r="B1165" i="19"/>
  <c r="B1174" i="19"/>
  <c r="B1176" i="19"/>
  <c r="B1148" i="19"/>
  <c r="B1164" i="19"/>
  <c r="B1173" i="19"/>
  <c r="B1166" i="19"/>
  <c r="B1167" i="19"/>
  <c r="B1152" i="19"/>
  <c r="B1160" i="19"/>
  <c r="B1153" i="19"/>
  <c r="B1177" i="19"/>
  <c r="B1172" i="19"/>
  <c r="B1149" i="19"/>
  <c r="B1151" i="19"/>
  <c r="B1175" i="19"/>
  <c r="B1168" i="19"/>
  <c r="B1161" i="19"/>
  <c r="B1146" i="19"/>
  <c r="B1154" i="19"/>
  <c r="B1162" i="19"/>
  <c r="B1170" i="19"/>
  <c r="B1178" i="19"/>
  <c r="B1156" i="19"/>
  <c r="B1157" i="19"/>
  <c r="B1150" i="19"/>
  <c r="B1158" i="19"/>
  <c r="B1159" i="19"/>
  <c r="B1169" i="19"/>
  <c r="B1147" i="19"/>
  <c r="B1155" i="19"/>
  <c r="B1163" i="19"/>
  <c r="B1171" i="19"/>
  <c r="B1806" i="19" l="1"/>
  <c r="B1769" i="19"/>
  <c r="B1659" i="19"/>
  <c r="B1560" i="19"/>
  <c r="M26" i="33"/>
  <c r="M43" i="33" l="1"/>
  <c r="M56" i="33" s="1"/>
  <c r="M27" i="33"/>
  <c r="M30" i="33" s="1"/>
  <c r="B1807" i="19"/>
  <c r="B1770" i="19"/>
  <c r="B1561" i="19"/>
  <c r="C1562" i="19"/>
  <c r="M57" i="33" l="1"/>
  <c r="M61" i="33" s="1"/>
  <c r="M67" i="33"/>
  <c r="M64" i="33"/>
  <c r="N53" i="24"/>
  <c r="C1809" i="19"/>
  <c r="B1808" i="19"/>
  <c r="B1771" i="19"/>
  <c r="B1562" i="19"/>
  <c r="N55" i="24" l="1"/>
  <c r="Q53" i="24"/>
  <c r="P53" i="24"/>
  <c r="N30" i="24"/>
  <c r="B1809" i="19"/>
  <c r="B1563" i="19"/>
  <c r="C1564" i="19"/>
  <c r="Q55" i="24" l="1"/>
  <c r="P55" i="24"/>
  <c r="N56" i="24"/>
  <c r="C1811" i="19"/>
  <c r="B1810" i="19"/>
  <c r="N64" i="24"/>
  <c r="Q64" i="24" s="1"/>
  <c r="N67" i="24"/>
  <c r="B1564" i="19"/>
  <c r="R32" i="18"/>
  <c r="R30" i="18"/>
  <c r="N61" i="24" l="1"/>
  <c r="B1811" i="19"/>
  <c r="C1812" i="19"/>
  <c r="B1772" i="19"/>
  <c r="B1565" i="19"/>
  <c r="J13" i="18"/>
  <c r="J24" i="18"/>
  <c r="M31" i="18"/>
  <c r="J31" i="18"/>
  <c r="R31" i="18" s="1"/>
  <c r="S33" i="18" s="1"/>
  <c r="R19" i="18"/>
  <c r="R48" i="18"/>
  <c r="R45" i="18"/>
  <c r="S45" i="18" s="1"/>
  <c r="R44" i="18"/>
  <c r="R43" i="18"/>
  <c r="S43" i="18" s="1"/>
  <c r="R42" i="18"/>
  <c r="R41" i="18"/>
  <c r="S41" i="18" s="1"/>
  <c r="R38" i="18"/>
  <c r="R50" i="18" l="1"/>
  <c r="C1813" i="19"/>
  <c r="B1812" i="19"/>
  <c r="B1773" i="19"/>
  <c r="B1566" i="19"/>
  <c r="J44" i="18"/>
  <c r="B1813" i="19" l="1"/>
  <c r="B1774" i="19"/>
  <c r="B1567" i="19"/>
  <c r="J42" i="18"/>
  <c r="J40" i="18"/>
  <c r="B1814" i="19" l="1"/>
  <c r="B1775" i="19"/>
  <c r="B1569" i="19"/>
  <c r="M32" i="18"/>
  <c r="C1816" i="19" l="1"/>
  <c r="B1815" i="19"/>
  <c r="B1776" i="19"/>
  <c r="J47" i="18"/>
  <c r="J45" i="18"/>
  <c r="B1816" i="19" l="1"/>
  <c r="C1817" i="19"/>
  <c r="B1777" i="19"/>
  <c r="J16" i="18"/>
  <c r="C1818" i="19" l="1"/>
  <c r="B1817" i="19"/>
  <c r="B1778" i="19"/>
  <c r="J48" i="18"/>
  <c r="J43" i="18"/>
  <c r="J19" i="18"/>
  <c r="B1818" i="19" l="1"/>
  <c r="B1779" i="19"/>
  <c r="K48" i="18"/>
  <c r="K43" i="18"/>
  <c r="K41" i="18"/>
  <c r="K38" i="18"/>
  <c r="K31" i="18"/>
  <c r="K13" i="18"/>
  <c r="B1819" i="19" l="1"/>
  <c r="B1780" i="19"/>
  <c r="M45" i="18"/>
  <c r="M44" i="18"/>
  <c r="M43" i="18"/>
  <c r="M42" i="18"/>
  <c r="M41" i="18"/>
  <c r="M38" i="18"/>
  <c r="M19" i="18"/>
  <c r="M13" i="18"/>
  <c r="B1820" i="19" l="1"/>
  <c r="C1821" i="19"/>
  <c r="B1781" i="19"/>
  <c r="K16" i="24"/>
  <c r="Q16" i="24" l="1"/>
  <c r="P16" i="24"/>
  <c r="W16" i="24"/>
  <c r="X16" i="24" s="1"/>
  <c r="C1822" i="19"/>
  <c r="B1821" i="19"/>
  <c r="B1782" i="19"/>
  <c r="I16" i="5"/>
  <c r="H102" i="15"/>
  <c r="L102" i="15" s="1"/>
  <c r="N56" i="12" l="1"/>
  <c r="M56" i="12"/>
  <c r="C1823" i="19"/>
  <c r="B1822" i="19"/>
  <c r="B1783" i="19"/>
  <c r="H13" i="6"/>
  <c r="I88" i="3" l="1"/>
  <c r="H17" i="3"/>
  <c r="B1823" i="19"/>
  <c r="B1784" i="19"/>
  <c r="B1824" i="19" l="1"/>
  <c r="C1825" i="19"/>
  <c r="B1785" i="19"/>
  <c r="G38" i="15"/>
  <c r="G45" i="15" s="1"/>
  <c r="E38" i="15"/>
  <c r="B1825" i="19" l="1"/>
  <c r="C1826" i="19"/>
  <c r="B1786" i="19"/>
  <c r="G572" i="19"/>
  <c r="G571" i="19"/>
  <c r="B1826" i="19" l="1"/>
  <c r="B1787" i="19"/>
  <c r="T638" i="19"/>
  <c r="J18" i="18"/>
  <c r="O18" i="18" s="1"/>
  <c r="M53" i="18"/>
  <c r="M22" i="18"/>
  <c r="M39" i="18" s="1"/>
  <c r="M21" i="18"/>
  <c r="M15" i="18"/>
  <c r="M63" i="18"/>
  <c r="B1827" i="19" l="1"/>
  <c r="B1788" i="19"/>
  <c r="M23" i="18"/>
  <c r="M26" i="18" s="1"/>
  <c r="M49" i="18"/>
  <c r="H81" i="6"/>
  <c r="K65" i="3" s="1"/>
  <c r="D32" i="6"/>
  <c r="M28" i="12" l="1"/>
  <c r="N28" i="12"/>
  <c r="H32" i="6"/>
  <c r="H31" i="6"/>
  <c r="K30" i="12"/>
  <c r="B1828" i="19"/>
  <c r="B1789" i="19"/>
  <c r="J11" i="18"/>
  <c r="O11" i="18" s="1"/>
  <c r="I65" i="3"/>
  <c r="M60" i="18"/>
  <c r="M57" i="18"/>
  <c r="M50" i="18"/>
  <c r="M54" i="18" s="1"/>
  <c r="O17" i="18"/>
  <c r="M30" i="12" l="1"/>
  <c r="N30" i="12"/>
  <c r="K58" i="12"/>
  <c r="B1829" i="19"/>
  <c r="C1830" i="19"/>
  <c r="B1790" i="19"/>
  <c r="K69" i="12" l="1"/>
  <c r="K72" i="12" s="1"/>
  <c r="B1830" i="19"/>
  <c r="B1791" i="19"/>
  <c r="O47" i="23"/>
  <c r="O45" i="23"/>
  <c r="O42" i="23"/>
  <c r="O36" i="23"/>
  <c r="O35" i="23"/>
  <c r="O32" i="23"/>
  <c r="O24" i="23"/>
  <c r="O18" i="23"/>
  <c r="O17" i="23"/>
  <c r="O16" i="23"/>
  <c r="O15" i="23"/>
  <c r="O14" i="23"/>
  <c r="O13" i="23"/>
  <c r="O10" i="23"/>
  <c r="O9" i="23"/>
  <c r="J34" i="23"/>
  <c r="O34" i="23" s="1"/>
  <c r="M41" i="23"/>
  <c r="J41" i="23"/>
  <c r="J43" i="23"/>
  <c r="M39" i="23"/>
  <c r="J39" i="23"/>
  <c r="J35" i="23"/>
  <c r="J33" i="23"/>
  <c r="O33" i="23" s="1"/>
  <c r="M30" i="23"/>
  <c r="O30" i="23" s="1"/>
  <c r="O39" i="23" l="1"/>
  <c r="O41" i="23"/>
  <c r="M31" i="23"/>
  <c r="B1831" i="19"/>
  <c r="B1792" i="19"/>
  <c r="J29" i="23"/>
  <c r="B1832" i="19" l="1"/>
  <c r="B1793" i="19"/>
  <c r="O29" i="23"/>
  <c r="J31" i="23"/>
  <c r="O31" i="23" s="1"/>
  <c r="J46" i="23"/>
  <c r="O46" i="23" s="1"/>
  <c r="J44" i="23"/>
  <c r="O44" i="23" s="1"/>
  <c r="M43" i="23"/>
  <c r="O43" i="23" s="1"/>
  <c r="B1833" i="19" l="1"/>
  <c r="B1794" i="19"/>
  <c r="M37" i="23"/>
  <c r="J37" i="23"/>
  <c r="C1835" i="19" l="1"/>
  <c r="B1834" i="19"/>
  <c r="B1795" i="19"/>
  <c r="O37" i="23"/>
  <c r="J51" i="23"/>
  <c r="O51" i="23" s="1"/>
  <c r="P24" i="23"/>
  <c r="P16" i="23"/>
  <c r="P14" i="23"/>
  <c r="J12" i="23"/>
  <c r="K52" i="23"/>
  <c r="K47" i="23"/>
  <c r="P47" i="23"/>
  <c r="P46" i="23"/>
  <c r="P44" i="23"/>
  <c r="P43" i="23"/>
  <c r="P42" i="23"/>
  <c r="K42" i="23"/>
  <c r="P41" i="23"/>
  <c r="J40" i="23"/>
  <c r="O40" i="23" s="1"/>
  <c r="P39" i="23"/>
  <c r="M52" i="23"/>
  <c r="J52" i="23"/>
  <c r="P36" i="23"/>
  <c r="P35" i="23"/>
  <c r="P34" i="23"/>
  <c r="P33" i="23"/>
  <c r="K30" i="23"/>
  <c r="K31" i="23" s="1"/>
  <c r="P29" i="23"/>
  <c r="O23" i="23"/>
  <c r="P23" i="23" s="1"/>
  <c r="M38" i="23"/>
  <c r="K21" i="23"/>
  <c r="K38" i="23" s="1"/>
  <c r="J38" i="23"/>
  <c r="O20" i="23"/>
  <c r="M19" i="23"/>
  <c r="O19" i="23" s="1"/>
  <c r="K19" i="23"/>
  <c r="P18" i="23"/>
  <c r="P17" i="23"/>
  <c r="P15" i="23"/>
  <c r="K14" i="23"/>
  <c r="K13" i="23"/>
  <c r="K12" i="23"/>
  <c r="P10" i="23"/>
  <c r="K10" i="23"/>
  <c r="K9" i="23"/>
  <c r="K8" i="23"/>
  <c r="H44" i="15"/>
  <c r="F35" i="15"/>
  <c r="B1835" i="19" l="1"/>
  <c r="C1836" i="19"/>
  <c r="B1796" i="19"/>
  <c r="O12" i="23"/>
  <c r="P12" i="23" s="1"/>
  <c r="O38" i="23"/>
  <c r="P38" i="23" s="1"/>
  <c r="O52" i="23"/>
  <c r="M48" i="23"/>
  <c r="O22" i="23"/>
  <c r="P31" i="23"/>
  <c r="P37" i="23"/>
  <c r="P40" i="23"/>
  <c r="J22" i="23"/>
  <c r="J25" i="23" s="1"/>
  <c r="K48" i="23"/>
  <c r="K22" i="23"/>
  <c r="K25" i="23" s="1"/>
  <c r="P13" i="23"/>
  <c r="P30" i="23"/>
  <c r="J48" i="23"/>
  <c r="M22" i="23"/>
  <c r="M25" i="23" s="1"/>
  <c r="O21" i="23"/>
  <c r="B1836" i="19" l="1"/>
  <c r="B1797" i="19"/>
  <c r="O48" i="23"/>
  <c r="P48" i="23" s="1"/>
  <c r="K49" i="23"/>
  <c r="K53" i="23" s="1"/>
  <c r="O25" i="23"/>
  <c r="P25" i="23" s="1"/>
  <c r="J49" i="23"/>
  <c r="M49" i="23"/>
  <c r="M53" i="23" s="1"/>
  <c r="P9" i="23"/>
  <c r="P22" i="23"/>
  <c r="B1837" i="19" l="1"/>
  <c r="B1798" i="19"/>
  <c r="O49" i="23"/>
  <c r="P49" i="23" s="1"/>
  <c r="J53" i="23"/>
  <c r="O53" i="23" s="1"/>
  <c r="B1838" i="19" l="1"/>
  <c r="B1799" i="19"/>
  <c r="J14" i="18"/>
  <c r="C1840" i="19" l="1"/>
  <c r="B1839" i="19"/>
  <c r="B1800" i="19"/>
  <c r="B1840" i="19" l="1"/>
  <c r="B1801" i="19"/>
  <c r="H43" i="15"/>
  <c r="H42" i="15"/>
  <c r="H41" i="15"/>
  <c r="H40" i="15"/>
  <c r="H39" i="15"/>
  <c r="H38" i="15"/>
  <c r="H37" i="15"/>
  <c r="H36" i="15"/>
  <c r="F45" i="15"/>
  <c r="D45" i="15"/>
  <c r="C1842" i="19" l="1"/>
  <c r="B1841" i="19"/>
  <c r="N526" i="19"/>
  <c r="N527" i="19" s="1"/>
  <c r="N528" i="19" s="1"/>
  <c r="N529" i="19" s="1"/>
  <c r="N530" i="19" s="1"/>
  <c r="N531" i="19" s="1"/>
  <c r="N532" i="19" s="1"/>
  <c r="N533" i="19" s="1"/>
  <c r="N534" i="19" s="1"/>
  <c r="N535" i="19" s="1"/>
  <c r="N536" i="19" s="1"/>
  <c r="N537" i="19" s="1"/>
  <c r="N538" i="19" s="1"/>
  <c r="N539" i="19" s="1"/>
  <c r="N540" i="19" s="1"/>
  <c r="N541" i="19" s="1"/>
  <c r="N542" i="19" s="1"/>
  <c r="N543" i="19" s="1"/>
  <c r="N544" i="19" s="1"/>
  <c r="N545" i="19" s="1"/>
  <c r="N546" i="19" s="1"/>
  <c r="N547" i="19" s="1"/>
  <c r="N548" i="19" s="1"/>
  <c r="N549" i="19" s="1"/>
  <c r="N550" i="19" s="1"/>
  <c r="N551" i="19" s="1"/>
  <c r="N552" i="19" s="1"/>
  <c r="N553" i="19" s="1"/>
  <c r="N554" i="19" s="1"/>
  <c r="N555" i="19" s="1"/>
  <c r="N556" i="19" s="1"/>
  <c r="N557" i="19" s="1"/>
  <c r="N558" i="19" s="1"/>
  <c r="N559" i="19" s="1"/>
  <c r="N560" i="19" s="1"/>
  <c r="N561" i="19" s="1"/>
  <c r="N562" i="19" s="1"/>
  <c r="N563" i="19" s="1"/>
  <c r="N564" i="19" s="1"/>
  <c r="N565" i="19" s="1"/>
  <c r="N566" i="19" s="1"/>
  <c r="N567" i="19" s="1"/>
  <c r="N568" i="19" s="1"/>
  <c r="N569" i="19" s="1"/>
  <c r="N570" i="19" s="1"/>
  <c r="N571" i="19" s="1"/>
  <c r="N572" i="19" s="1"/>
  <c r="N573" i="19" s="1"/>
  <c r="N574" i="19" s="1"/>
  <c r="N575" i="19" s="1"/>
  <c r="N576" i="19" s="1"/>
  <c r="N577" i="19" s="1"/>
  <c r="N578" i="19" s="1"/>
  <c r="N579" i="19" s="1"/>
  <c r="N580" i="19" s="1"/>
  <c r="N581" i="19" s="1"/>
  <c r="N582" i="19" s="1"/>
  <c r="N583" i="19" s="1"/>
  <c r="N584" i="19" s="1"/>
  <c r="N585" i="19" s="1"/>
  <c r="N586" i="19" s="1"/>
  <c r="N587" i="19" s="1"/>
  <c r="N588" i="19" s="1"/>
  <c r="B1842" i="19" l="1"/>
  <c r="N589" i="19"/>
  <c r="N590" i="19" s="1"/>
  <c r="N591" i="19" s="1"/>
  <c r="N592" i="19" s="1"/>
  <c r="N593" i="19" s="1"/>
  <c r="N594" i="19" s="1"/>
  <c r="N595" i="19" s="1"/>
  <c r="N596" i="19" s="1"/>
  <c r="B1844" i="19" l="1"/>
  <c r="B1843" i="19"/>
  <c r="H2104" i="19" s="1"/>
  <c r="T635" i="19" l="1"/>
  <c r="T636" i="19" l="1"/>
  <c r="T640" i="19" s="1"/>
  <c r="T643" i="19" s="1"/>
  <c r="A3" i="18" l="1"/>
  <c r="O20" i="18"/>
  <c r="O19" i="18"/>
  <c r="H39" i="6" l="1"/>
  <c r="O10" i="18" l="1"/>
  <c r="O41" i="18" l="1"/>
  <c r="P41" i="18" s="1"/>
  <c r="O38" i="18"/>
  <c r="P38" i="18" s="1"/>
  <c r="O52" i="18"/>
  <c r="O48" i="18"/>
  <c r="P48" i="18" s="1"/>
  <c r="O47" i="18"/>
  <c r="P47" i="18" s="1"/>
  <c r="O46" i="18"/>
  <c r="O45" i="18"/>
  <c r="P45" i="18" s="1"/>
  <c r="O40" i="18"/>
  <c r="P40" i="18" s="1"/>
  <c r="O37" i="18"/>
  <c r="P37" i="18" s="1"/>
  <c r="O36" i="18"/>
  <c r="P36" i="18" s="1"/>
  <c r="O35" i="18"/>
  <c r="P35" i="18" s="1"/>
  <c r="O34" i="18"/>
  <c r="P34" i="18" s="1"/>
  <c r="O33" i="18"/>
  <c r="O31" i="18"/>
  <c r="P31" i="18" s="1"/>
  <c r="O30" i="18"/>
  <c r="P30" i="18" s="1"/>
  <c r="O25" i="18"/>
  <c r="P25" i="18" s="1"/>
  <c r="O13" i="18"/>
  <c r="P13" i="18" s="1"/>
  <c r="P10" i="18"/>
  <c r="O16" i="18"/>
  <c r="P16" i="18" s="1"/>
  <c r="O14" i="18"/>
  <c r="P14" i="18" s="1"/>
  <c r="O24" i="18" l="1"/>
  <c r="P24" i="18" s="1"/>
  <c r="O44" i="18"/>
  <c r="P44" i="18" s="1"/>
  <c r="O43" i="18"/>
  <c r="P43" i="18" s="1"/>
  <c r="O42" i="18"/>
  <c r="P42" i="18" s="1"/>
  <c r="H37" i="6" l="1"/>
  <c r="A4" i="18" l="1"/>
  <c r="K15" i="24" l="1"/>
  <c r="K27" i="24" s="1"/>
  <c r="K16" i="3"/>
  <c r="J14" i="30"/>
  <c r="G51" i="22"/>
  <c r="G47" i="22"/>
  <c r="G46" i="22"/>
  <c r="G13" i="22"/>
  <c r="G20" i="22"/>
  <c r="Q15" i="24" l="1"/>
  <c r="P15" i="24"/>
  <c r="W15" i="24"/>
  <c r="W27" i="24" s="1"/>
  <c r="W30" i="24" s="1"/>
  <c r="G28" i="22"/>
  <c r="K14" i="30"/>
  <c r="J25" i="30"/>
  <c r="J28" i="30" s="1"/>
  <c r="J54" i="30" s="1"/>
  <c r="J58" i="30" s="1"/>
  <c r="G34" i="22"/>
  <c r="Q27" i="24" l="1"/>
  <c r="P27" i="24"/>
  <c r="X15" i="24"/>
  <c r="X27" i="24" s="1"/>
  <c r="X30" i="24" s="1"/>
  <c r="X56" i="24" s="1"/>
  <c r="K30" i="24"/>
  <c r="M14" i="30"/>
  <c r="M25" i="30" s="1"/>
  <c r="M28" i="30" s="1"/>
  <c r="M54" i="30" s="1"/>
  <c r="M58" i="30" s="1"/>
  <c r="K25" i="30"/>
  <c r="K28" i="30" s="1"/>
  <c r="K54" i="30" s="1"/>
  <c r="K58" i="30" s="1"/>
  <c r="G53" i="22"/>
  <c r="G55" i="22" s="1"/>
  <c r="P30" i="24" l="1"/>
  <c r="Q30" i="24"/>
  <c r="K56" i="24"/>
  <c r="M32" i="5"/>
  <c r="Q56" i="24" l="1"/>
  <c r="P56" i="24"/>
  <c r="K61" i="24"/>
  <c r="AC56" i="24"/>
  <c r="W56" i="24"/>
  <c r="W61" i="24" s="1"/>
  <c r="H45" i="15"/>
  <c r="Q61" i="24" l="1"/>
  <c r="P61" i="24"/>
  <c r="X61" i="24"/>
  <c r="I44" i="15"/>
  <c r="I42" i="15"/>
  <c r="I39" i="15"/>
  <c r="I35" i="15"/>
  <c r="I43" i="15"/>
  <c r="I41" i="15"/>
  <c r="I38" i="15"/>
  <c r="I36" i="15"/>
  <c r="O32" i="18" l="1"/>
  <c r="P32" i="18" s="1"/>
  <c r="E45" i="15" l="1"/>
  <c r="J22" i="18" l="1"/>
  <c r="K22" i="18"/>
  <c r="K39" i="18" s="1"/>
  <c r="K21" i="18"/>
  <c r="K63" i="18"/>
  <c r="K15" i="18"/>
  <c r="K8" i="18"/>
  <c r="K49" i="18" l="1"/>
  <c r="K53" i="18"/>
  <c r="J39" i="18"/>
  <c r="J49" i="18" s="1"/>
  <c r="K23" i="18"/>
  <c r="K57" i="18" l="1"/>
  <c r="K60" i="18"/>
  <c r="E89" i="6" l="1"/>
  <c r="H47" i="6"/>
  <c r="H48" i="6" l="1"/>
  <c r="A3" i="21"/>
  <c r="I45" i="15" l="1"/>
  <c r="G69" i="21" l="1"/>
  <c r="F69" i="21"/>
  <c r="C69" i="21"/>
  <c r="G68" i="21"/>
  <c r="F68" i="21"/>
  <c r="C68" i="21"/>
  <c r="G67" i="21"/>
  <c r="F67" i="21"/>
  <c r="C67" i="21"/>
  <c r="B67" i="21"/>
  <c r="G66" i="21"/>
  <c r="F66" i="21"/>
  <c r="B66" i="21"/>
  <c r="G64" i="21"/>
  <c r="F64" i="21"/>
  <c r="C64" i="21"/>
  <c r="H63" i="21"/>
  <c r="H62" i="21"/>
  <c r="H61" i="21"/>
  <c r="H60" i="21"/>
  <c r="E60" i="21"/>
  <c r="E64" i="21" s="1"/>
  <c r="H59" i="21"/>
  <c r="H58" i="21"/>
  <c r="B58" i="21"/>
  <c r="H57" i="21"/>
  <c r="B57" i="21"/>
  <c r="H56" i="21"/>
  <c r="H55" i="21"/>
  <c r="D55" i="21"/>
  <c r="H54" i="21"/>
  <c r="H53" i="21"/>
  <c r="H52" i="21"/>
  <c r="H51" i="21"/>
  <c r="D51" i="21"/>
  <c r="G50" i="21"/>
  <c r="F50" i="21"/>
  <c r="C50" i="21"/>
  <c r="H49" i="21"/>
  <c r="H48" i="21"/>
  <c r="H47" i="21"/>
  <c r="H46" i="21"/>
  <c r="E46" i="21"/>
  <c r="H45" i="21"/>
  <c r="H44" i="21"/>
  <c r="H43" i="21"/>
  <c r="H42" i="21"/>
  <c r="H41" i="21"/>
  <c r="H40" i="21"/>
  <c r="H39" i="21"/>
  <c r="H38" i="21"/>
  <c r="H37" i="21"/>
  <c r="E37" i="21"/>
  <c r="D37" i="21"/>
  <c r="D68" i="21" s="1"/>
  <c r="B37" i="21"/>
  <c r="B50" i="21" s="1"/>
  <c r="G36" i="21"/>
  <c r="F36" i="21"/>
  <c r="C36" i="21"/>
  <c r="B36" i="21"/>
  <c r="H35" i="21"/>
  <c r="H34" i="21"/>
  <c r="H33" i="21"/>
  <c r="H32" i="21"/>
  <c r="H31" i="21"/>
  <c r="H30" i="21"/>
  <c r="H29" i="21"/>
  <c r="D29" i="21"/>
  <c r="D67" i="21" s="1"/>
  <c r="H28" i="21"/>
  <c r="E28" i="21"/>
  <c r="H27" i="21"/>
  <c r="E27" i="21"/>
  <c r="H26" i="21"/>
  <c r="H25" i="21"/>
  <c r="H24" i="21"/>
  <c r="H23" i="21"/>
  <c r="G22" i="21"/>
  <c r="F22" i="21"/>
  <c r="B22" i="21"/>
  <c r="H21" i="21"/>
  <c r="C21" i="21"/>
  <c r="H20" i="21"/>
  <c r="C20" i="21"/>
  <c r="H19" i="21"/>
  <c r="C19" i="21"/>
  <c r="H18" i="21"/>
  <c r="C18" i="21"/>
  <c r="H17" i="21"/>
  <c r="C17" i="21"/>
  <c r="H16" i="21"/>
  <c r="C16" i="21"/>
  <c r="H15" i="21"/>
  <c r="C15" i="21"/>
  <c r="H14" i="21"/>
  <c r="E14" i="21"/>
  <c r="C14" i="21"/>
  <c r="H13" i="21"/>
  <c r="C13" i="21"/>
  <c r="H12" i="21"/>
  <c r="C12" i="21"/>
  <c r="H11" i="21"/>
  <c r="C11" i="21"/>
  <c r="H10" i="21"/>
  <c r="C10" i="21"/>
  <c r="H9" i="21"/>
  <c r="E9" i="21"/>
  <c r="D9" i="21"/>
  <c r="D22" i="21" s="1"/>
  <c r="C9" i="21"/>
  <c r="F65" i="21" l="1"/>
  <c r="D69" i="21"/>
  <c r="G65" i="21"/>
  <c r="B65" i="21"/>
  <c r="H66" i="21"/>
  <c r="H36" i="21"/>
  <c r="B69" i="21"/>
  <c r="E66" i="21"/>
  <c r="C66" i="21"/>
  <c r="H50" i="21"/>
  <c r="H67" i="21"/>
  <c r="H68" i="21"/>
  <c r="B68" i="21"/>
  <c r="E22" i="21"/>
  <c r="D66" i="21"/>
  <c r="H22" i="21"/>
  <c r="E36" i="21"/>
  <c r="E50" i="21"/>
  <c r="D50" i="21"/>
  <c r="H64" i="21"/>
  <c r="H69" i="21"/>
  <c r="B64" i="21"/>
  <c r="E67" i="21"/>
  <c r="C22" i="21"/>
  <c r="C65" i="21" s="1"/>
  <c r="D64" i="21"/>
  <c r="E69" i="21"/>
  <c r="D36" i="21"/>
  <c r="D65" i="21" s="1"/>
  <c r="E68" i="21"/>
  <c r="E65" i="21" l="1"/>
  <c r="H65" i="21"/>
  <c r="F80" i="15" l="1"/>
  <c r="J21" i="18" l="1"/>
  <c r="O21" i="18" s="1"/>
  <c r="H8" i="12" l="1"/>
  <c r="M8" i="33" l="1"/>
  <c r="J8" i="33"/>
  <c r="K8" i="24"/>
  <c r="F81" i="15"/>
  <c r="N8" i="24" l="1"/>
  <c r="B323" i="19"/>
  <c r="K26" i="18" l="1"/>
  <c r="K50" i="18" s="1"/>
  <c r="K54" i="18" s="1"/>
  <c r="O22" i="18"/>
  <c r="J63" i="18" l="1"/>
  <c r="J8" i="18"/>
  <c r="J53" i="18"/>
  <c r="O53" i="18" s="1"/>
  <c r="O9" i="18" l="1"/>
  <c r="P9" i="18" s="1"/>
  <c r="O39" i="18"/>
  <c r="P39" i="18" s="1"/>
  <c r="J57" i="18" l="1"/>
  <c r="O49" i="18"/>
  <c r="P49" i="18" s="1"/>
  <c r="J60" i="18"/>
  <c r="M8" i="18"/>
  <c r="J15" i="18" l="1"/>
  <c r="O15" i="18" s="1"/>
  <c r="P15" i="18" s="1"/>
  <c r="S56" i="12" l="1"/>
  <c r="O23" i="18"/>
  <c r="P23" i="18" s="1"/>
  <c r="J23" i="18"/>
  <c r="J26" i="18" s="1"/>
  <c r="O26" i="18" l="1"/>
  <c r="P26" i="18" s="1"/>
  <c r="J50" i="18"/>
  <c r="O50" i="18" s="1"/>
  <c r="P50" i="18" s="1"/>
  <c r="J54" i="18" l="1"/>
  <c r="O54" i="18" s="1"/>
  <c r="G14" i="20"/>
  <c r="G46" i="20"/>
  <c r="G49" i="20"/>
  <c r="G48" i="20"/>
  <c r="G43" i="20"/>
  <c r="G41" i="20"/>
  <c r="G40" i="20"/>
  <c r="G28" i="20"/>
  <c r="G29" i="20" s="1"/>
  <c r="G24" i="20"/>
  <c r="G19" i="20"/>
  <c r="G31" i="20"/>
  <c r="G30" i="20"/>
  <c r="G23" i="20" l="1"/>
  <c r="G25" i="20" s="1"/>
  <c r="G51" i="20"/>
  <c r="G53" i="20" l="1"/>
  <c r="A132" i="19" l="1"/>
  <c r="A137" i="19" s="1"/>
  <c r="A142" i="19" s="1"/>
  <c r="A147" i="19" s="1"/>
  <c r="A152" i="19" s="1"/>
  <c r="A157" i="19" s="1"/>
  <c r="A162" i="19" s="1"/>
  <c r="A167" i="19" s="1"/>
  <c r="A172" i="19" s="1"/>
  <c r="A177" i="19" s="1"/>
  <c r="A182" i="19" s="1"/>
  <c r="A187" i="19" s="1"/>
  <c r="A192" i="19" s="1"/>
  <c r="A197" i="19" s="1"/>
  <c r="A202" i="19" s="1"/>
  <c r="A207" i="19" s="1"/>
  <c r="A212" i="19" s="1"/>
  <c r="A217" i="19" s="1"/>
  <c r="A222" i="19" s="1"/>
  <c r="A227" i="19" s="1"/>
  <c r="A232" i="19" s="1"/>
  <c r="A237" i="19" s="1"/>
  <c r="A242" i="19" s="1"/>
  <c r="A247" i="19" s="1"/>
  <c r="A252" i="19" s="1"/>
  <c r="A257" i="19" s="1"/>
  <c r="A262" i="19" s="1"/>
  <c r="A131" i="19"/>
  <c r="A136" i="19" s="1"/>
  <c r="A141" i="19" s="1"/>
  <c r="A146" i="19" s="1"/>
  <c r="A151" i="19" s="1"/>
  <c r="A156" i="19" s="1"/>
  <c r="A161" i="19" s="1"/>
  <c r="A166" i="19" s="1"/>
  <c r="A171" i="19" s="1"/>
  <c r="A176" i="19" s="1"/>
  <c r="A181" i="19" s="1"/>
  <c r="A186" i="19" s="1"/>
  <c r="A191" i="19" s="1"/>
  <c r="A196" i="19" s="1"/>
  <c r="A201" i="19" s="1"/>
  <c r="A206" i="19" s="1"/>
  <c r="A211" i="19" s="1"/>
  <c r="A216" i="19" s="1"/>
  <c r="A221" i="19" s="1"/>
  <c r="A226" i="19" s="1"/>
  <c r="A231" i="19" s="1"/>
  <c r="A236" i="19" s="1"/>
  <c r="A241" i="19" s="1"/>
  <c r="A246" i="19" s="1"/>
  <c r="A251" i="19" s="1"/>
  <c r="A256" i="19" s="1"/>
  <c r="A261" i="19" s="1"/>
  <c r="A130" i="19"/>
  <c r="A135" i="19" s="1"/>
  <c r="A140" i="19" s="1"/>
  <c r="A145" i="19" s="1"/>
  <c r="A150" i="19" s="1"/>
  <c r="A155" i="19" s="1"/>
  <c r="A160" i="19" s="1"/>
  <c r="A165" i="19" s="1"/>
  <c r="A170" i="19" s="1"/>
  <c r="A175" i="19" s="1"/>
  <c r="A180" i="19" s="1"/>
  <c r="A185" i="19" s="1"/>
  <c r="A190" i="19" s="1"/>
  <c r="A195" i="19" s="1"/>
  <c r="A200" i="19" s="1"/>
  <c r="A205" i="19" s="1"/>
  <c r="A210" i="19" s="1"/>
  <c r="A215" i="19" s="1"/>
  <c r="A220" i="19" s="1"/>
  <c r="A225" i="19" s="1"/>
  <c r="A230" i="19" s="1"/>
  <c r="A235" i="19" s="1"/>
  <c r="A240" i="19" s="1"/>
  <c r="A245" i="19" s="1"/>
  <c r="A250" i="19" s="1"/>
  <c r="A255" i="19" s="1"/>
  <c r="A260" i="19" s="1"/>
  <c r="A128" i="19"/>
  <c r="A133" i="19" s="1"/>
  <c r="A138" i="19" s="1"/>
  <c r="A143" i="19" s="1"/>
  <c r="A148" i="19" s="1"/>
  <c r="A153" i="19" s="1"/>
  <c r="A158" i="19" s="1"/>
  <c r="A163" i="19" s="1"/>
  <c r="A168" i="19" s="1"/>
  <c r="A173" i="19" s="1"/>
  <c r="A178" i="19" s="1"/>
  <c r="A183" i="19" s="1"/>
  <c r="A188" i="19" s="1"/>
  <c r="A193" i="19" s="1"/>
  <c r="A198" i="19" s="1"/>
  <c r="A203" i="19" s="1"/>
  <c r="A208" i="19" s="1"/>
  <c r="A213" i="19" s="1"/>
  <c r="A218" i="19" s="1"/>
  <c r="A223" i="19" s="1"/>
  <c r="A228" i="19" s="1"/>
  <c r="A233" i="19" s="1"/>
  <c r="A238" i="19" s="1"/>
  <c r="A243" i="19" s="1"/>
  <c r="A248" i="19" s="1"/>
  <c r="A253" i="19" s="1"/>
  <c r="A258" i="19" s="1"/>
  <c r="A263" i="19" s="1"/>
  <c r="B105" i="19"/>
  <c r="B101" i="19"/>
  <c r="B97" i="19"/>
  <c r="B94" i="19"/>
  <c r="B89" i="19"/>
  <c r="B86" i="19"/>
  <c r="B76" i="19"/>
  <c r="B74" i="19"/>
  <c r="B71" i="19"/>
  <c r="B69" i="19"/>
  <c r="B67" i="19"/>
  <c r="B65" i="19"/>
  <c r="B52" i="19"/>
  <c r="B50" i="19"/>
  <c r="B46" i="19"/>
  <c r="B47" i="19" s="1"/>
  <c r="B42" i="19"/>
  <c r="B39" i="19"/>
  <c r="B40" i="19" s="1"/>
  <c r="B35" i="19"/>
  <c r="B36" i="19" s="1"/>
  <c r="B32" i="19"/>
  <c r="B27" i="19"/>
  <c r="B22" i="19"/>
  <c r="B19" i="19"/>
  <c r="B16" i="19"/>
  <c r="B15" i="19"/>
  <c r="B12" i="19"/>
  <c r="B9" i="19"/>
  <c r="B7" i="19"/>
  <c r="A129" i="19" l="1"/>
  <c r="A134" i="19" s="1"/>
  <c r="A139" i="19" s="1"/>
  <c r="A144" i="19" s="1"/>
  <c r="A149" i="19" s="1"/>
  <c r="A154" i="19" s="1"/>
  <c r="A159" i="19" s="1"/>
  <c r="A164" i="19" s="1"/>
  <c r="A169" i="19" s="1"/>
  <c r="A174" i="19" s="1"/>
  <c r="A179" i="19" s="1"/>
  <c r="A184" i="19" s="1"/>
  <c r="A189" i="19" s="1"/>
  <c r="A194" i="19" s="1"/>
  <c r="A199" i="19" s="1"/>
  <c r="A204" i="19" s="1"/>
  <c r="A209" i="19" s="1"/>
  <c r="A214" i="19" s="1"/>
  <c r="A219" i="19" s="1"/>
  <c r="A224" i="19" s="1"/>
  <c r="A229" i="19" s="1"/>
  <c r="A234" i="19" s="1"/>
  <c r="A239" i="19" s="1"/>
  <c r="A244" i="19" s="1"/>
  <c r="A249" i="19" s="1"/>
  <c r="A254" i="19" s="1"/>
  <c r="A259" i="19" s="1"/>
  <c r="A264" i="19" s="1"/>
  <c r="H17" i="6" l="1"/>
  <c r="H19" i="6" s="1"/>
  <c r="G112" i="15" l="1"/>
  <c r="H71" i="6" l="1"/>
  <c r="M52" i="3" s="1"/>
  <c r="M65" i="3" s="1"/>
  <c r="M67" i="3" s="1"/>
  <c r="H51" i="6"/>
  <c r="I63" i="5" l="1"/>
  <c r="J78" i="3"/>
  <c r="J80" i="3" s="1"/>
  <c r="H52" i="6"/>
  <c r="L65" i="3" l="1"/>
  <c r="H77" i="6" l="1"/>
  <c r="U8" i="17" l="1"/>
  <c r="W38" i="17"/>
  <c r="V38" i="17"/>
  <c r="U38" i="17"/>
  <c r="T38" i="17"/>
  <c r="S38" i="17"/>
  <c r="R38" i="17"/>
  <c r="Q38" i="17"/>
  <c r="P38" i="17"/>
  <c r="O38" i="17"/>
  <c r="N38" i="17"/>
  <c r="M38" i="17"/>
  <c r="L38" i="17"/>
  <c r="W32" i="17"/>
  <c r="V32" i="17"/>
  <c r="U32" i="17"/>
  <c r="T32" i="17"/>
  <c r="S32" i="17"/>
  <c r="R32" i="17"/>
  <c r="Q32" i="17"/>
  <c r="P32" i="17"/>
  <c r="O32" i="17"/>
  <c r="N32" i="17"/>
  <c r="M32" i="17"/>
  <c r="L32" i="17"/>
  <c r="P13" i="17"/>
  <c r="P19" i="17" s="1"/>
  <c r="L13" i="17"/>
  <c r="L19" i="17" s="1"/>
  <c r="W13" i="17"/>
  <c r="W19" i="17" s="1"/>
  <c r="S13" i="17"/>
  <c r="S19" i="17" s="1"/>
  <c r="O13" i="17"/>
  <c r="O19" i="17" s="1"/>
  <c r="K12" i="17"/>
  <c r="K13" i="17" s="1"/>
  <c r="K19" i="17" s="1"/>
  <c r="K38" i="17"/>
  <c r="K32" i="17"/>
  <c r="J12" i="17"/>
  <c r="J13" i="17" s="1"/>
  <c r="J19" i="17" s="1"/>
  <c r="J38" i="17"/>
  <c r="J32" i="17"/>
  <c r="I29" i="17"/>
  <c r="I32" i="17" s="1"/>
  <c r="I38" i="17"/>
  <c r="I13" i="17"/>
  <c r="I19" i="17" s="1"/>
  <c r="H38" i="17"/>
  <c r="H32" i="17"/>
  <c r="H13" i="17"/>
  <c r="H19" i="17" s="1"/>
  <c r="G38" i="17"/>
  <c r="G32" i="17"/>
  <c r="G13" i="17"/>
  <c r="G19" i="17" s="1"/>
  <c r="G40" i="17" l="1"/>
  <c r="R40" i="17"/>
  <c r="N40" i="17"/>
  <c r="W40" i="17"/>
  <c r="T40" i="17"/>
  <c r="T13" i="17"/>
  <c r="T19" i="17" s="1"/>
  <c r="L40" i="17"/>
  <c r="O40" i="17"/>
  <c r="S40" i="17"/>
  <c r="P40" i="17"/>
  <c r="M13" i="17"/>
  <c r="M19" i="17" s="1"/>
  <c r="Q13" i="17"/>
  <c r="Q19" i="17" s="1"/>
  <c r="U13" i="17"/>
  <c r="U19" i="17" s="1"/>
  <c r="M40" i="17"/>
  <c r="Q40" i="17"/>
  <c r="U40" i="17"/>
  <c r="N13" i="17"/>
  <c r="N19" i="17" s="1"/>
  <c r="R13" i="17"/>
  <c r="R19" i="17" s="1"/>
  <c r="V13" i="17"/>
  <c r="V19" i="17" s="1"/>
  <c r="V40" i="17"/>
  <c r="K40" i="17"/>
  <c r="J40" i="17"/>
  <c r="I40" i="17"/>
  <c r="H40" i="17"/>
  <c r="M50" i="5" l="1"/>
  <c r="M59" i="5" s="1"/>
  <c r="M16" i="5"/>
  <c r="H40" i="6" l="1"/>
  <c r="I90" i="3" s="1"/>
  <c r="K69" i="3" l="1"/>
  <c r="I69" i="3" s="1"/>
  <c r="L69" i="3" s="1"/>
  <c r="M24" i="5" l="1"/>
  <c r="M26" i="5" s="1"/>
  <c r="M36" i="5" s="1"/>
  <c r="I57" i="5"/>
  <c r="M70" i="5" l="1"/>
  <c r="E231" i="6" l="1"/>
  <c r="E232" i="6"/>
  <c r="E233" i="6"/>
  <c r="G231" i="6" l="1"/>
  <c r="H22" i="6" l="1"/>
  <c r="D96" i="6" l="1"/>
  <c r="D98" i="6" s="1"/>
  <c r="H235" i="6"/>
  <c r="K12" i="3" l="1"/>
  <c r="K21" i="3" s="1"/>
  <c r="H20" i="3"/>
  <c r="D9" i="6"/>
  <c r="G61" i="6"/>
  <c r="G89" i="6" s="1"/>
  <c r="D28" i="6"/>
  <c r="H12" i="3" l="1"/>
  <c r="H21" i="3" s="1"/>
  <c r="D89" i="6"/>
  <c r="D234" i="6"/>
  <c r="H7" i="6" l="1"/>
  <c r="H8" i="6"/>
  <c r="H9" i="6" l="1"/>
  <c r="H54" i="6" l="1"/>
  <c r="H58" i="12" l="1"/>
  <c r="I64" i="5" l="1"/>
  <c r="I65" i="5" s="1"/>
  <c r="H69" i="12"/>
  <c r="M58" i="12"/>
  <c r="N58" i="12"/>
  <c r="M65" i="5"/>
  <c r="M67" i="5" s="1"/>
  <c r="N69" i="12" l="1"/>
  <c r="M69" i="12"/>
  <c r="D232" i="6"/>
  <c r="H36" i="6"/>
  <c r="H41" i="6" l="1"/>
  <c r="E235" i="6"/>
  <c r="H61" i="6"/>
  <c r="H89" i="6" s="1"/>
  <c r="G235" i="6" l="1"/>
  <c r="H72" i="12" l="1"/>
  <c r="L112" i="15"/>
  <c r="I85" i="3" l="1"/>
  <c r="I91" i="3" s="1"/>
  <c r="D233" i="6" l="1"/>
  <c r="D100" i="6" l="1"/>
  <c r="K73" i="3"/>
  <c r="F18" i="15"/>
  <c r="D231" i="6"/>
  <c r="D235" i="6" s="1"/>
  <c r="G14" i="15" l="1"/>
  <c r="G15" i="15"/>
  <c r="G17" i="15"/>
  <c r="G16" i="15"/>
  <c r="G13" i="15"/>
  <c r="G12" i="15"/>
  <c r="F91" i="6"/>
  <c r="E91" i="6"/>
  <c r="K74" i="3"/>
  <c r="K75" i="3" s="1"/>
  <c r="D91" i="6"/>
  <c r="G91" i="6"/>
  <c r="H91" i="6"/>
  <c r="G11" i="15"/>
  <c r="I26" i="5" l="1"/>
  <c r="G18" i="15"/>
  <c r="I36" i="5" l="1"/>
  <c r="I50" i="5"/>
  <c r="I59" i="5" l="1"/>
  <c r="Q59" i="5" s="1"/>
  <c r="I70" i="5" l="1"/>
  <c r="I67" i="5"/>
  <c r="Q67" i="5" l="1"/>
  <c r="N5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7" authorId="0" shapeId="0" xr:uid="{00000000-0006-0000-0000-000001000000}">
      <text>
        <r>
          <rPr>
            <b/>
            <sz val="9"/>
            <color indexed="81"/>
            <rFont val="Tahoma"/>
            <family val="2"/>
          </rPr>
          <t>John Ray:</t>
        </r>
        <r>
          <rPr>
            <sz val="9"/>
            <color indexed="81"/>
            <rFont val="Tahoma"/>
            <family val="2"/>
          </rPr>
          <t xml:space="preserve">
85100+85200</t>
        </r>
      </text>
    </comment>
    <comment ref="C48" authorId="0" shapeId="0" xr:uid="{00000000-0006-0000-0000-000002000000}">
      <text>
        <r>
          <rPr>
            <b/>
            <sz val="9"/>
            <color indexed="81"/>
            <rFont val="Tahoma"/>
            <family val="2"/>
          </rPr>
          <t>John Ray:</t>
        </r>
        <r>
          <rPr>
            <sz val="9"/>
            <color indexed="81"/>
            <rFont val="Tahoma"/>
            <family val="2"/>
          </rPr>
          <t xml:space="preserve">
85300+81150</t>
        </r>
      </text>
    </comment>
    <comment ref="C52" authorId="0" shapeId="0" xr:uid="{00000000-0006-0000-0000-000003000000}">
      <text>
        <r>
          <rPr>
            <b/>
            <sz val="9"/>
            <color indexed="81"/>
            <rFont val="Tahoma"/>
            <family val="2"/>
          </rPr>
          <t>John Ray:</t>
        </r>
        <r>
          <rPr>
            <sz val="9"/>
            <color indexed="81"/>
            <rFont val="Tahoma"/>
            <family val="2"/>
          </rPr>
          <t xml:space="preserve">
80060+81100
</t>
        </r>
      </text>
    </comment>
    <comment ref="C53" authorId="0" shapeId="0" xr:uid="{00000000-0006-0000-0000-000004000000}">
      <text>
        <r>
          <rPr>
            <b/>
            <sz val="9"/>
            <color indexed="81"/>
            <rFont val="Tahoma"/>
            <family val="2"/>
          </rPr>
          <t>John Ray:</t>
        </r>
        <r>
          <rPr>
            <sz val="9"/>
            <color indexed="81"/>
            <rFont val="Tahoma"/>
            <family val="2"/>
          </rPr>
          <t xml:space="preserve">
80060+81100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D34" authorId="0" shapeId="0" xr:uid="{F029672A-B28C-4C47-95DE-E9500D1A0E65}">
      <text>
        <r>
          <rPr>
            <b/>
            <sz val="9"/>
            <color indexed="81"/>
            <rFont val="Tahoma"/>
            <family val="2"/>
          </rPr>
          <t>John Ray:</t>
        </r>
        <r>
          <rPr>
            <sz val="9"/>
            <color indexed="81"/>
            <rFont val="Tahoma"/>
            <family val="2"/>
          </rPr>
          <t xml:space="preserve">
80060+81100
</t>
        </r>
      </text>
    </comment>
    <comment ref="D48" authorId="0" shapeId="0" xr:uid="{F05400C1-FF7B-4593-A73C-8D731226119B}">
      <text>
        <r>
          <rPr>
            <b/>
            <sz val="9"/>
            <color indexed="81"/>
            <rFont val="Tahoma"/>
            <family val="2"/>
          </rPr>
          <t>John Ray:</t>
        </r>
        <r>
          <rPr>
            <sz val="9"/>
            <color indexed="81"/>
            <rFont val="Tahoma"/>
            <family val="2"/>
          </rPr>
          <t xml:space="preserve">
85300+81150</t>
        </r>
      </text>
    </comment>
    <comment ref="D49" authorId="0" shapeId="0" xr:uid="{99680399-673B-49E2-91B4-F831610F94BA}">
      <text>
        <r>
          <rPr>
            <b/>
            <sz val="9"/>
            <color indexed="81"/>
            <rFont val="Tahoma"/>
            <family val="2"/>
          </rPr>
          <t>John Ray:</t>
        </r>
        <r>
          <rPr>
            <sz val="9"/>
            <color indexed="81"/>
            <rFont val="Tahoma"/>
            <family val="2"/>
          </rPr>
          <t xml:space="preserve">
85100+85200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tc={0DFA57E9-9FC2-4F99-B472-5CCADDE53003}</author>
  </authors>
  <commentList>
    <comment ref="J48" authorId="0" shapeId="0" xr:uid="{0DFA57E9-9FC2-4F99-B472-5CCADDE53003}">
      <text>
        <t>[Threaded comment]
Your version of Excel allows you to read this threaded comment; however, any edits to it will get removed if the file is opened in a newer version of Excel. Learn more: https://go.microsoft.com/fwlink/?linkid=870924
Comment:
    Corrected on 1/31/2028: includes Mother Cab, Dyson &amp; Transport</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K20" authorId="0" shapeId="0" xr:uid="{00000000-0006-0000-0F00-000001000000}">
      <text>
        <r>
          <rPr>
            <b/>
            <sz val="9"/>
            <color indexed="81"/>
            <rFont val="Tahoma"/>
            <family val="2"/>
          </rPr>
          <t>John Ray:</t>
        </r>
        <r>
          <rPr>
            <sz val="9"/>
            <color indexed="81"/>
            <rFont val="Tahoma"/>
            <family val="2"/>
          </rPr>
          <t xml:space="preserve">
Gain from Philly Ins Claim, see Dec 18th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5" authorId="0" shapeId="0" xr:uid="{00000000-0006-0000-1000-000001000000}">
      <text>
        <r>
          <rPr>
            <b/>
            <sz val="9"/>
            <color indexed="81"/>
            <rFont val="Tahoma"/>
            <family val="2"/>
          </rPr>
          <t>John Ray:</t>
        </r>
        <r>
          <rPr>
            <sz val="9"/>
            <color indexed="81"/>
            <rFont val="Tahoma"/>
            <family val="2"/>
          </rPr>
          <t xml:space="preserve">
85100+85200</t>
        </r>
      </text>
    </comment>
    <comment ref="C46" authorId="0" shapeId="0" xr:uid="{00000000-0006-0000-1000-000002000000}">
      <text>
        <r>
          <rPr>
            <b/>
            <sz val="9"/>
            <color indexed="81"/>
            <rFont val="Tahoma"/>
            <family val="2"/>
          </rPr>
          <t>John Ray:</t>
        </r>
        <r>
          <rPr>
            <sz val="9"/>
            <color indexed="81"/>
            <rFont val="Tahoma"/>
            <family val="2"/>
          </rPr>
          <t xml:space="preserve">
85300+81150</t>
        </r>
      </text>
    </comment>
    <comment ref="C51" authorId="0" shapeId="0" xr:uid="{00000000-0006-0000-1000-000003000000}">
      <text>
        <r>
          <rPr>
            <b/>
            <sz val="9"/>
            <color indexed="81"/>
            <rFont val="Tahoma"/>
            <family val="2"/>
          </rPr>
          <t>John Ray:</t>
        </r>
        <r>
          <rPr>
            <sz val="9"/>
            <color indexed="81"/>
            <rFont val="Tahoma"/>
            <family val="2"/>
          </rPr>
          <t xml:space="preserve">
80060+81100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2" authorId="0" shapeId="0" xr:uid="{00000000-0006-0000-1200-000001000000}">
      <text>
        <r>
          <rPr>
            <b/>
            <sz val="9"/>
            <color indexed="81"/>
            <rFont val="Tahoma"/>
            <family val="2"/>
          </rPr>
          <t>John Ray:</t>
        </r>
        <r>
          <rPr>
            <sz val="9"/>
            <color indexed="81"/>
            <rFont val="Tahoma"/>
            <family val="2"/>
          </rPr>
          <t xml:space="preserve">
85100+85200</t>
        </r>
      </text>
    </comment>
    <comment ref="C43" authorId="0" shapeId="0" xr:uid="{00000000-0006-0000-1200-000002000000}">
      <text>
        <r>
          <rPr>
            <b/>
            <sz val="9"/>
            <color indexed="81"/>
            <rFont val="Tahoma"/>
            <family val="2"/>
          </rPr>
          <t>John Ray:</t>
        </r>
        <r>
          <rPr>
            <sz val="9"/>
            <color indexed="81"/>
            <rFont val="Tahoma"/>
            <family val="2"/>
          </rPr>
          <t xml:space="preserve">
85300+81150</t>
        </r>
      </text>
    </comment>
    <comment ref="C49" authorId="0" shapeId="0" xr:uid="{00000000-0006-0000-1200-000003000000}">
      <text>
        <r>
          <rPr>
            <b/>
            <sz val="9"/>
            <color indexed="81"/>
            <rFont val="Tahoma"/>
            <family val="2"/>
          </rPr>
          <t>John Ray:</t>
        </r>
        <r>
          <rPr>
            <sz val="9"/>
            <color indexed="81"/>
            <rFont val="Tahoma"/>
            <family val="2"/>
          </rPr>
          <t xml:space="preserve">
80060+81100
</t>
        </r>
      </text>
    </comment>
    <comment ref="C50" authorId="0" shapeId="0" xr:uid="{00000000-0006-0000-1200-000004000000}">
      <text>
        <r>
          <rPr>
            <b/>
            <sz val="9"/>
            <color indexed="81"/>
            <rFont val="Tahoma"/>
            <family val="2"/>
          </rPr>
          <t>John Ray:</t>
        </r>
        <r>
          <rPr>
            <sz val="9"/>
            <color indexed="81"/>
            <rFont val="Tahoma"/>
            <family val="2"/>
          </rPr>
          <t xml:space="preserve">
80060+81100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2" authorId="0" shapeId="0" xr:uid="{00000000-0006-0000-0100-000001000000}">
      <text>
        <r>
          <rPr>
            <b/>
            <sz val="9"/>
            <color indexed="81"/>
            <rFont val="Tahoma"/>
            <family val="2"/>
          </rPr>
          <t>John Ray:</t>
        </r>
        <r>
          <rPr>
            <sz val="9"/>
            <color indexed="81"/>
            <rFont val="Tahoma"/>
            <family val="2"/>
          </rPr>
          <t xml:space="preserve">
85100+85200</t>
        </r>
      </text>
    </comment>
    <comment ref="C43" authorId="0" shapeId="0" xr:uid="{00000000-0006-0000-0100-000002000000}">
      <text>
        <r>
          <rPr>
            <b/>
            <sz val="9"/>
            <color indexed="81"/>
            <rFont val="Tahoma"/>
            <family val="2"/>
          </rPr>
          <t>John Ray:</t>
        </r>
        <r>
          <rPr>
            <sz val="9"/>
            <color indexed="81"/>
            <rFont val="Tahoma"/>
            <family val="2"/>
          </rPr>
          <t xml:space="preserve">
85300+81150</t>
        </r>
      </text>
    </comment>
    <comment ref="C47" authorId="0" shapeId="0" xr:uid="{00000000-0006-0000-0100-000003000000}">
      <text>
        <r>
          <rPr>
            <b/>
            <sz val="9"/>
            <color indexed="81"/>
            <rFont val="Tahoma"/>
            <family val="2"/>
          </rPr>
          <t>John Ray:</t>
        </r>
        <r>
          <rPr>
            <sz val="9"/>
            <color indexed="81"/>
            <rFont val="Tahoma"/>
            <family val="2"/>
          </rPr>
          <t xml:space="preserve">
80060+81100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3" authorId="0" shapeId="0" xr:uid="{D79F8756-FE5D-4A78-9C68-37A3AEEE5E4B}">
      <text>
        <r>
          <rPr>
            <b/>
            <sz val="9"/>
            <color indexed="81"/>
            <rFont val="Tahoma"/>
            <family val="2"/>
          </rPr>
          <t>John Ray:</t>
        </r>
        <r>
          <rPr>
            <sz val="9"/>
            <color indexed="81"/>
            <rFont val="Tahoma"/>
            <family val="2"/>
          </rPr>
          <t xml:space="preserve">
85100+85200</t>
        </r>
      </text>
    </comment>
    <comment ref="C44" authorId="0" shapeId="0" xr:uid="{6745B673-1D17-47F1-A0E5-83071F6DA016}">
      <text>
        <r>
          <rPr>
            <b/>
            <sz val="9"/>
            <color indexed="81"/>
            <rFont val="Tahoma"/>
            <family val="2"/>
          </rPr>
          <t>John Ray:</t>
        </r>
        <r>
          <rPr>
            <sz val="9"/>
            <color indexed="81"/>
            <rFont val="Tahoma"/>
            <family val="2"/>
          </rPr>
          <t xml:space="preserve">
85300+81150</t>
        </r>
      </text>
    </comment>
    <comment ref="C48" authorId="0" shapeId="0" xr:uid="{C4BC823B-3D16-4130-9984-A3E565FF81B2}">
      <text>
        <r>
          <rPr>
            <b/>
            <sz val="9"/>
            <color indexed="81"/>
            <rFont val="Tahoma"/>
            <family val="2"/>
          </rPr>
          <t>John Ray:</t>
        </r>
        <r>
          <rPr>
            <sz val="9"/>
            <color indexed="81"/>
            <rFont val="Tahoma"/>
            <family val="2"/>
          </rPr>
          <t xml:space="preserve">
80060+81100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49" authorId="0" shapeId="0" xr:uid="{00000000-0006-0000-0500-000001000000}">
      <text>
        <r>
          <rPr>
            <b/>
            <sz val="9"/>
            <color indexed="81"/>
            <rFont val="Tahoma"/>
            <family val="2"/>
          </rPr>
          <t>John Ray:</t>
        </r>
        <r>
          <rPr>
            <sz val="9"/>
            <color indexed="81"/>
            <rFont val="Tahoma"/>
            <family val="2"/>
          </rPr>
          <t xml:space="preserve">
85100+85200</t>
        </r>
      </text>
    </comment>
    <comment ref="C50" authorId="0" shapeId="0" xr:uid="{00000000-0006-0000-0500-000002000000}">
      <text>
        <r>
          <rPr>
            <b/>
            <sz val="9"/>
            <color indexed="81"/>
            <rFont val="Tahoma"/>
            <family val="2"/>
          </rPr>
          <t>John Ray:</t>
        </r>
        <r>
          <rPr>
            <sz val="9"/>
            <color indexed="81"/>
            <rFont val="Tahoma"/>
            <family val="2"/>
          </rPr>
          <t xml:space="preserve">
85300+81150</t>
        </r>
      </text>
    </comment>
    <comment ref="C54" authorId="0" shapeId="0" xr:uid="{00000000-0006-0000-0500-000003000000}">
      <text>
        <r>
          <rPr>
            <b/>
            <sz val="9"/>
            <color indexed="81"/>
            <rFont val="Tahoma"/>
            <family val="2"/>
          </rPr>
          <t>John Ray:</t>
        </r>
        <r>
          <rPr>
            <sz val="9"/>
            <color indexed="81"/>
            <rFont val="Tahoma"/>
            <family val="2"/>
          </rPr>
          <t xml:space="preserve">
80060+81100
</t>
        </r>
      </text>
    </comment>
    <comment ref="C55" authorId="0" shapeId="0" xr:uid="{00000000-0006-0000-0500-000004000000}">
      <text>
        <r>
          <rPr>
            <b/>
            <sz val="9"/>
            <color indexed="81"/>
            <rFont val="Tahoma"/>
            <family val="2"/>
          </rPr>
          <t>John Ray:</t>
        </r>
        <r>
          <rPr>
            <sz val="9"/>
            <color indexed="81"/>
            <rFont val="Tahoma"/>
            <family val="2"/>
          </rPr>
          <t xml:space="preserve">
80060+81100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Gregory Pettyjohn</author>
  </authors>
  <commentList>
    <comment ref="H60" authorId="0" shapeId="0" xr:uid="{81B58DAF-BB44-471B-852E-5433D5CCA953}">
      <text>
        <r>
          <rPr>
            <sz val="11"/>
            <color theme="1"/>
            <rFont val="Arial"/>
            <family val="2"/>
          </rPr>
          <t>Gregory Pettyjohn:
This includes $1056 allocated to new Cancer Commitment Fund (liability)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Gregory Pettyjohn</author>
  </authors>
  <commentList>
    <comment ref="H58" authorId="0" shapeId="0" xr:uid="{AAF23659-72E3-456C-99E8-2DD07426C438}">
      <text>
        <r>
          <rPr>
            <sz val="11"/>
            <color theme="1"/>
            <rFont val="Arial"/>
            <family val="2"/>
          </rPr>
          <t>Gregory Pettyjohn:
This includes $1056 allocated to Cancer Fund liability account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Gregory Pettyjohn</author>
    <author>John Ray</author>
  </authors>
  <commentList>
    <comment ref="H17" authorId="0" shapeId="0" xr:uid="{D339A65E-F619-42C1-A379-2747BE8C6D33}">
      <text>
        <r>
          <rPr>
            <sz val="11"/>
            <color theme="1"/>
            <rFont val="Arial"/>
            <family val="2"/>
          </rPr>
          <t>Gregory Pettyjohn:
Booked at $12,000 here,  $3,000 of which is not on AR b/c it's invoiced quarterly</t>
        </r>
      </text>
    </comment>
    <comment ref="D44" authorId="1" shapeId="0" xr:uid="{00000000-0006-0000-0900-000003000000}">
      <text>
        <r>
          <rPr>
            <b/>
            <sz val="9"/>
            <color indexed="81"/>
            <rFont val="Tahoma"/>
            <family val="2"/>
          </rPr>
          <t>John Ray:</t>
        </r>
        <r>
          <rPr>
            <sz val="9"/>
            <color indexed="81"/>
            <rFont val="Tahoma"/>
            <family val="2"/>
          </rPr>
          <t xml:space="preserve">
80060+81100
</t>
        </r>
      </text>
    </comment>
    <comment ref="D46" authorId="1" shapeId="0" xr:uid="{00000000-0006-0000-0900-000002000000}">
      <text>
        <r>
          <rPr>
            <b/>
            <sz val="9"/>
            <color indexed="81"/>
            <rFont val="Tahoma"/>
            <family val="2"/>
          </rPr>
          <t>John Ray:</t>
        </r>
        <r>
          <rPr>
            <sz val="9"/>
            <color indexed="81"/>
            <rFont val="Tahoma"/>
            <family val="2"/>
          </rPr>
          <t xml:space="preserve">
85300+81150</t>
        </r>
      </text>
    </comment>
    <comment ref="D51" authorId="1" shapeId="0" xr:uid="{00000000-0006-0000-0900-000001000000}">
      <text>
        <r>
          <rPr>
            <b/>
            <sz val="9"/>
            <color indexed="81"/>
            <rFont val="Tahoma"/>
            <family val="2"/>
          </rPr>
          <t>John Ray:</t>
        </r>
        <r>
          <rPr>
            <sz val="9"/>
            <color indexed="81"/>
            <rFont val="Tahoma"/>
            <family val="2"/>
          </rPr>
          <t xml:space="preserve">
85100+85200</t>
        </r>
      </text>
    </comment>
    <comment ref="D55" authorId="1" shapeId="0" xr:uid="{00000000-0006-0000-0900-000004000000}">
      <text>
        <r>
          <rPr>
            <b/>
            <sz val="9"/>
            <color indexed="81"/>
            <rFont val="Tahoma"/>
            <family val="2"/>
          </rPr>
          <t>John Ray:</t>
        </r>
        <r>
          <rPr>
            <sz val="9"/>
            <color indexed="81"/>
            <rFont val="Tahoma"/>
            <family val="2"/>
          </rPr>
          <t xml:space="preserve">
80060+81100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Ray</author>
  </authors>
  <commentList>
    <comment ref="C17" authorId="0" shapeId="0" xr:uid="{00000000-0006-0000-0A00-000001000000}">
      <text>
        <r>
          <rPr>
            <b/>
            <sz val="9"/>
            <color indexed="81"/>
            <rFont val="Tahoma"/>
            <family val="2"/>
          </rPr>
          <t>John Ray:</t>
        </r>
        <r>
          <rPr>
            <sz val="9"/>
            <color indexed="81"/>
            <rFont val="Tahoma"/>
            <family val="2"/>
          </rPr>
          <t xml:space="preserve">
85300+81150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tc={D2AAE105-F2BC-41AE-8225-C626ED6F0CC6}</author>
  </authors>
  <commentList>
    <comment ref="K48" authorId="0" shapeId="0" xr:uid="{D2AAE105-F2BC-41AE-8225-C626ED6F0CC6}">
      <text>
        <t>[Threaded comment]
Your version of Excel allows you to read this threaded comment; however, any edits to it will get removed if the file is opened in a newer version of Excel. Learn more: https://go.microsoft.com/fwlink/?linkid=870924
Comment:
    Corrected on 1/31/2028: includes Mother Cab, Dyson &amp; Transport</t>
      </text>
    </comment>
  </commentList>
</comments>
</file>

<file path=xl/sharedStrings.xml><?xml version="1.0" encoding="utf-8"?>
<sst xmlns="http://schemas.openxmlformats.org/spreadsheetml/2006/main" count="2349" uniqueCount="831">
  <si>
    <t>Columbia County Community Healthcare Consortium , Inc.</t>
  </si>
  <si>
    <t>Updated Operating Budget</t>
  </si>
  <si>
    <t>For the Year Ended December 31, 2021</t>
  </si>
  <si>
    <t>Changes in Unrestricted Net Assets</t>
  </si>
  <si>
    <t>Amount $</t>
  </si>
  <si>
    <t>$ Change</t>
  </si>
  <si>
    <t>%</t>
  </si>
  <si>
    <t>Revenue and Support</t>
  </si>
  <si>
    <t>Actual Revenue and Expenses            (Jan'21 to April'21)</t>
  </si>
  <si>
    <t>Budgeted Revenue and Expenses       (May'21 to Dec'21)</t>
  </si>
  <si>
    <t>Updated Operating Budget -        December 31, 2021</t>
  </si>
  <si>
    <t>Original Operating Budget -             December 31, 2021</t>
  </si>
  <si>
    <t>Variance &amp; %</t>
  </si>
  <si>
    <t>Grants - New York State</t>
  </si>
  <si>
    <t xml:space="preserve">Transportation - Medicaid </t>
  </si>
  <si>
    <t>Greene County DSS</t>
  </si>
  <si>
    <t>Columbia County Departments</t>
  </si>
  <si>
    <t>OFA: NY Connects, Senior Transportation</t>
  </si>
  <si>
    <t>Dept. of Human Services</t>
  </si>
  <si>
    <t>Dept. of Health</t>
  </si>
  <si>
    <t xml:space="preserve">Donations </t>
  </si>
  <si>
    <t>Interest - Bank Accounts</t>
  </si>
  <si>
    <t>Investment Income</t>
  </si>
  <si>
    <t>Unrealized Gain on Investments</t>
  </si>
  <si>
    <t xml:space="preserve">Foundation Revenue - </t>
  </si>
  <si>
    <t>Foundation for Community Health</t>
  </si>
  <si>
    <t>Dyson Foundation</t>
  </si>
  <si>
    <t>Community Foundations of the Hudson Valley</t>
  </si>
  <si>
    <t>Gain on Sale of Vehicle</t>
  </si>
  <si>
    <t>In-Kind Rent - Columbia County</t>
  </si>
  <si>
    <t>Miscellaneous Revenue</t>
  </si>
  <si>
    <t>Columbia County BOS</t>
  </si>
  <si>
    <t>Community Cancer Funds</t>
  </si>
  <si>
    <t>Total Revenue and Support</t>
  </si>
  <si>
    <t>Expenses:</t>
  </si>
  <si>
    <t>Salaries</t>
  </si>
  <si>
    <t>Payroll Taxes and Benefits</t>
  </si>
  <si>
    <t>Rents/Storage</t>
  </si>
  <si>
    <t>In-Kind Rent</t>
  </si>
  <si>
    <t>Telephone</t>
  </si>
  <si>
    <t>Postage</t>
  </si>
  <si>
    <t>Office Supplies</t>
  </si>
  <si>
    <t>Program Supplies</t>
  </si>
  <si>
    <t>Medical, Prescriptions &amp; Financial Assistance</t>
  </si>
  <si>
    <t>Printing and Copying</t>
  </si>
  <si>
    <t>Dues &amp; Subscriptions</t>
  </si>
  <si>
    <t>Audit &amp; Tax Preparation</t>
  </si>
  <si>
    <t>Legal</t>
  </si>
  <si>
    <t>Network/Computer/Website</t>
  </si>
  <si>
    <t>Insurance</t>
  </si>
  <si>
    <t>Staff Development &amp; Board Recognition</t>
  </si>
  <si>
    <t>Sponsored Events</t>
  </si>
  <si>
    <t>Travel, Meals and Conferences</t>
  </si>
  <si>
    <t>Contract Professional/Subcontractor Fees</t>
  </si>
  <si>
    <r>
      <t xml:space="preserve">Transportation Services </t>
    </r>
    <r>
      <rPr>
        <sz val="9"/>
        <color rgb="FF000000"/>
        <rFont val="Arial"/>
        <family val="2"/>
      </rPr>
      <t>(Fuel, Repairs, Lease, Insurance &amp; Licenses)</t>
    </r>
  </si>
  <si>
    <t>Advertising &amp; Promotion</t>
  </si>
  <si>
    <t>Interest Expense on PPP Loan</t>
  </si>
  <si>
    <t>Change in Unrestricted Net Assets Before Depreciation</t>
  </si>
  <si>
    <t>Depreciation</t>
  </si>
  <si>
    <t>Change in Unrestricted Net Assets After Depreciation</t>
  </si>
  <si>
    <t>Assumptions:</t>
  </si>
  <si>
    <t>--Medicaid revenue will increase at the start of the 3rd quarter due to the opening of MHA/PROS opening back up</t>
  </si>
  <si>
    <t>--Addition of new fulltime staff members: Tobacco Youth Engagement Coordinator + NY Connects I&amp;AS after June 1st</t>
  </si>
  <si>
    <t>--Existing DOH and OFA contracts are renewed at current amounts.</t>
  </si>
  <si>
    <t>Operating Budget</t>
  </si>
  <si>
    <t>For the Year Ended December 31, 2023</t>
  </si>
  <si>
    <t>Operating Budget - December 31, 2023</t>
  </si>
  <si>
    <t xml:space="preserve"> Projections - December 31, 2022</t>
  </si>
  <si>
    <t>Total Expenses</t>
  </si>
  <si>
    <t>Depreciation &amp; Amortization</t>
  </si>
  <si>
    <t>Interest</t>
  </si>
  <si>
    <t>2023 Operating Budget Assumptions</t>
  </si>
  <si>
    <t>General:</t>
  </si>
  <si>
    <t>NYS DOH existing contracts remain at the current contracted budget amount and we collect 100% of what we expend</t>
  </si>
  <si>
    <t>Other existing contracts/subcontracts/agreements remain at current budget amounts, Like OFA: NY Connects, OFA: MIPPA, and Greene County DSS - HEAP</t>
  </si>
  <si>
    <t>The HEALing Community Study Program thru the Dept of Health ends March 31, 2023 and the related Impact Dollars Program ended a year earlier on March 31, 2022.</t>
  </si>
  <si>
    <t>Three new positions for the 2023 year are hired with no other changes to current staffing levels</t>
  </si>
  <si>
    <t>Transportation Program Assistant (Part-time) hired Jan 01, 2023</t>
  </si>
  <si>
    <t xml:space="preserve"> RHN Program Coordinator (Full-time) hired Jan 01, 2023</t>
  </si>
  <si>
    <t>Director of Development &amp; Communication (Full-time) hired March 01, 2023</t>
  </si>
  <si>
    <t xml:space="preserve">Fringe benefits like health &amp; dental insurance are based upon actual 2023 renewal rates. </t>
  </si>
  <si>
    <t>No changes to existing calculations for discretionary 401(k) contributions from Agency that employee receive at year end. Estimated discretionary 401(k) contribution amount for 2023 year at $25,200</t>
  </si>
  <si>
    <t>The value of the Agency's investment decreases by $1,800 to $385K</t>
  </si>
  <si>
    <t>CARTS related:</t>
  </si>
  <si>
    <t>Program expenses increase due to wage increases for drivers and office staff, lease arrangement with Enterprise Fleet Management.</t>
  </si>
  <si>
    <t>Average hourly rate for drivers wages increases to $15.75/hr from $15.25/hr. Total driver wages &amp; fringe increase by $50,000 with driver's hours increasing by 2,300 hrs for a total of 15,400 hrs. Increase offset by Rip Van Winkle $50K donation.</t>
  </si>
  <si>
    <t>Medicaid revenue for 2023 stays consistent with revenue levels experienced in 2022 year.</t>
  </si>
  <si>
    <t>Annual subcontract thru Office for the Aging for senior transportation (+60) services increases to $47,500 from $46,000</t>
  </si>
  <si>
    <t>Annual subcontract thru Dept of Human Services for transportation services remains consistent with the 2022 amount of $18,000</t>
  </si>
  <si>
    <t>Revenue from Foundations consist of the following</t>
  </si>
  <si>
    <t xml:space="preserve">Rip Van Winkle Foundation - $50,000 </t>
  </si>
  <si>
    <t>Foundation of Community Health - $27,500 (reoccurring annually) for CARTS</t>
  </si>
  <si>
    <t>Foundation of Community Health - $28,000 of $150,00 from operating support</t>
  </si>
  <si>
    <t>Dyson Foundation - $25,000 of $50,000 operating support</t>
  </si>
  <si>
    <t>Small $3,000 increase in individual/business donations due to work completed by new Director of Development &amp; Communication position</t>
  </si>
  <si>
    <t>No expected increase in contributions from Columbia County. Revenue consist with 2022 levels</t>
  </si>
  <si>
    <t>Various County Departments -$20,000</t>
  </si>
  <si>
    <t>Columbia County for Lobby Receptionist &amp; CARTS - $52,000</t>
  </si>
  <si>
    <t xml:space="preserve">Small $3,000 decrease in support from RHN Program for vehicle expenses to $4,000. </t>
  </si>
  <si>
    <t>Immaterial CARTS revenue from service agreements with CMH and Greene County Public Health</t>
  </si>
  <si>
    <t>Statement of Activities-Transportation</t>
  </si>
  <si>
    <t>For the Years Ended December 31, 2018, 2019, 2020, 2021, 2022</t>
  </si>
  <si>
    <t>Grants - New York State - Rural Health Network</t>
  </si>
  <si>
    <t>Grants - New York State - Assoc for Rural Health</t>
  </si>
  <si>
    <t>OFA: Senior Transportation</t>
  </si>
  <si>
    <t>Donations - Transportation</t>
  </si>
  <si>
    <t>Foundation Revenue</t>
  </si>
  <si>
    <t>Other</t>
  </si>
  <si>
    <t>In-Kind Rent - Columbia County (20%)</t>
  </si>
  <si>
    <t>Assets Released from Restrictions-CC Depts.</t>
  </si>
  <si>
    <t>Assets Released from Restrictions-Columbia Cty</t>
  </si>
  <si>
    <t>Total Revenue and Other Support</t>
  </si>
  <si>
    <t>Less: Revenue for New Vehicles</t>
  </si>
  <si>
    <t>Total Revenue after new Vehicles</t>
  </si>
  <si>
    <t>Salaries and Payroll Taxes &amp; Fringe</t>
  </si>
  <si>
    <t>Drivers</t>
  </si>
  <si>
    <t>Variable</t>
  </si>
  <si>
    <t>Transportation Coordinators &amp; Support</t>
  </si>
  <si>
    <t xml:space="preserve">Transportation Services </t>
  </si>
  <si>
    <t xml:space="preserve">Vehicle Fuel </t>
  </si>
  <si>
    <t>Vehicle Insurance</t>
  </si>
  <si>
    <t>Vehicle Maintenance &amp; Repairs</t>
  </si>
  <si>
    <t>Vehicle Licenses &amp; Permits</t>
  </si>
  <si>
    <t>Depreciation &amp; Amortization -Vehicles</t>
  </si>
  <si>
    <t>Transportation Scheduling Software-RoutingBox</t>
  </si>
  <si>
    <t>Audit</t>
  </si>
  <si>
    <t>Telephone &amp; Internet</t>
  </si>
  <si>
    <t>Office &amp; Program Supplies</t>
  </si>
  <si>
    <t>General Insurance</t>
  </si>
  <si>
    <t>Other Expenses</t>
  </si>
  <si>
    <t>Change in Unrestricted Net Assets</t>
  </si>
  <si>
    <t>Less: Purchase of Vehicles</t>
  </si>
  <si>
    <t xml:space="preserve">Add Back Deprecation </t>
  </si>
  <si>
    <t>Net Cash</t>
  </si>
  <si>
    <t>Vehicle mileage for period</t>
  </si>
  <si>
    <t>Cost per mile (w/o depreciation&amp;rent)</t>
  </si>
  <si>
    <t>Number of Rides for period</t>
  </si>
  <si>
    <t>Cost per Ride (w/o depreciation&amp;rent)</t>
  </si>
  <si>
    <t>Number of Medicaid Rides for Period</t>
  </si>
  <si>
    <t>Medicaid Revenue per Medicaid Ride</t>
  </si>
  <si>
    <t>Number of Laten miles for period</t>
  </si>
  <si>
    <t>Number of Laten miles per ride</t>
  </si>
  <si>
    <t>Number of vehicle miles for period</t>
  </si>
  <si>
    <t>Average miles per ride</t>
  </si>
  <si>
    <t>Breakeven point based upon laten miles</t>
  </si>
  <si>
    <t>Variable Costs</t>
  </si>
  <si>
    <t>Fixed Cost</t>
  </si>
  <si>
    <t>Depreciation &amp; Rent</t>
  </si>
  <si>
    <t>Total Expenditures</t>
  </si>
  <si>
    <t>Laden Miles</t>
  </si>
  <si>
    <t>Mileage Rate (Variable $ / Laten Miles)</t>
  </si>
  <si>
    <t>Base Rate (Fixed $ / # of Rides)</t>
  </si>
  <si>
    <t xml:space="preserve">In-Kind Rent </t>
  </si>
  <si>
    <t>Total  Revenue</t>
  </si>
  <si>
    <t>Actual number of Rides for Year</t>
  </si>
  <si>
    <t>Breakeven point  at number of Rides</t>
  </si>
  <si>
    <t>Increase/Decrease in the # of Rides</t>
  </si>
  <si>
    <t>Breakeven point based upon vehicle miles</t>
  </si>
  <si>
    <t>Actual Vehicle Miles</t>
  </si>
  <si>
    <t>Mileage Rate (Variable $ / Vehicle Miles)</t>
  </si>
  <si>
    <t>New Base Rate (Fixed $ / # of Rides)</t>
  </si>
  <si>
    <t>Variable Expenses</t>
  </si>
  <si>
    <t>For the Year Ended December 31, 2024</t>
  </si>
  <si>
    <t>Operating Budget - December 31, 2024</t>
  </si>
  <si>
    <t xml:space="preserve"> Projections - December 31, 2023</t>
  </si>
  <si>
    <t>Fundraising Events-Net</t>
  </si>
  <si>
    <t>Gain (Loss) on Investments</t>
  </si>
  <si>
    <t>2024 Operating Budget Assumptions</t>
  </si>
  <si>
    <t>Two new positions for the 2024 year are hired with no other changes to current staffing levels</t>
  </si>
  <si>
    <t>Transportation Program Assistant (Full-time) hired Dec 01, 2023</t>
  </si>
  <si>
    <t>Director of Business Operations (Full-Time) hired April 01, 2024</t>
  </si>
  <si>
    <t xml:space="preserve">Fringe benefits like health &amp; dental insurance are based upon actual 2024 renewal rates. </t>
  </si>
  <si>
    <t>No changes to existing calculations for discretionary 401(k) contributions from Agency that employee receive at year end. Estimated discretionary 401(k) contribution amount for 2024 year at $25,000</t>
  </si>
  <si>
    <t>The value of the Agency's investment increases by $3,000 to $399K</t>
  </si>
  <si>
    <t>Finance &amp; Budget Committee Meeting</t>
  </si>
  <si>
    <t xml:space="preserve">   Fiscal Highlights</t>
  </si>
  <si>
    <t>Statement of Financial Position</t>
  </si>
  <si>
    <r>
      <rPr>
        <sz val="12"/>
        <color rgb="FF000000"/>
        <rFont val="Wingdings"/>
        <charset val="2"/>
      </rPr>
      <t>è</t>
    </r>
    <r>
      <rPr>
        <sz val="12"/>
        <color rgb="FF000000"/>
        <rFont val="Times New Roman"/>
        <family val="1"/>
      </rPr>
      <t xml:space="preserve"> </t>
    </r>
    <r>
      <rPr>
        <b/>
        <sz val="12"/>
        <color rgb="FF000000"/>
        <rFont val="Calibri"/>
        <family val="2"/>
      </rPr>
      <t xml:space="preserve">Grant Receivable - </t>
    </r>
    <r>
      <rPr>
        <sz val="12"/>
        <color rgb="FF000000"/>
        <rFont val="Calibri"/>
        <family val="2"/>
      </rPr>
      <t xml:space="preserve">  As of August 31 2025, our Grant Receivable is $280K. We expect to collect on all receivables.  </t>
    </r>
  </si>
  <si>
    <t>Percent %</t>
  </si>
  <si>
    <t>NYSDOH - Rural Health Network Program</t>
  </si>
  <si>
    <t>NYSDOH - Navigator Health Exchange Program</t>
  </si>
  <si>
    <t>Medicaid - Transportation</t>
  </si>
  <si>
    <t>CARTS Fundraiser</t>
  </si>
  <si>
    <t xml:space="preserve">Columbia County </t>
  </si>
  <si>
    <t>Greene County NY Connects</t>
  </si>
  <si>
    <t>Greene County DSS &amp; Others</t>
  </si>
  <si>
    <r>
      <t>è</t>
    </r>
    <r>
      <rPr>
        <b/>
        <sz val="12"/>
        <color theme="1"/>
        <rFont val="Times New Roman"/>
        <family val="1"/>
      </rPr>
      <t xml:space="preserve"> Miscellaneous Receivable</t>
    </r>
    <r>
      <rPr>
        <sz val="12"/>
        <color theme="1"/>
        <rFont val="Calibri"/>
        <family val="2"/>
      </rPr>
      <t xml:space="preserve"> - Auctions International owes Agency $3,350 for sale of 2010 Dodge Grand Caravan that was completed during the month of August. Funds received September 19, 2017.  </t>
    </r>
  </si>
  <si>
    <r>
      <rPr>
        <sz val="12"/>
        <color rgb="FF000000"/>
        <rFont val="Wingdings"/>
        <charset val="2"/>
      </rPr>
      <t>è</t>
    </r>
    <r>
      <rPr>
        <b/>
        <sz val="12"/>
        <color rgb="FF000000"/>
        <rFont val="Times New Roman"/>
        <family val="1"/>
      </rPr>
      <t xml:space="preserve"> Investment - North Country Financial Group </t>
    </r>
    <r>
      <rPr>
        <sz val="12"/>
        <color rgb="FF000000"/>
        <rFont val="Calibri"/>
        <family val="2"/>
      </rPr>
      <t xml:space="preserve"> - As of August 31, 2025, the investment account value is $541K. Initial investment during the month of March 2016 was $152K. The change in value for this year is an increase of $56K. </t>
    </r>
  </si>
  <si>
    <t>Fund</t>
  </si>
  <si>
    <t>Beginning Balance at 01/01/2019</t>
  </si>
  <si>
    <t>Income</t>
  </si>
  <si>
    <t>Funds Purchased/&lt;Sold&gt;</t>
  </si>
  <si>
    <t>Unrealized Gains, Gains &amp; Expenses</t>
  </si>
  <si>
    <t>Ending Balance at 12/31/2019</t>
  </si>
  <si>
    <t>Percent Total Assets</t>
  </si>
  <si>
    <t>Cash</t>
  </si>
  <si>
    <t xml:space="preserve">FCISX </t>
  </si>
  <si>
    <t xml:space="preserve">FRUGX </t>
  </si>
  <si>
    <t xml:space="preserve">FRGSX </t>
  </si>
  <si>
    <t>FCSCX</t>
  </si>
  <si>
    <t xml:space="preserve">FSGCX </t>
  </si>
  <si>
    <t>TEGBX</t>
  </si>
  <si>
    <t>FDYNX</t>
  </si>
  <si>
    <t>FRDTX</t>
  </si>
  <si>
    <t>FLQL</t>
  </si>
  <si>
    <t>Totals</t>
  </si>
  <si>
    <r>
      <t xml:space="preserve">è </t>
    </r>
    <r>
      <rPr>
        <sz val="12"/>
        <color theme="1"/>
        <rFont val="Times New Roman"/>
        <family val="1"/>
      </rPr>
      <t>Investment - Infinex Financial-Securities - Brief Description</t>
    </r>
  </si>
  <si>
    <r>
      <rPr>
        <b/>
        <sz val="11"/>
        <color theme="1"/>
        <rFont val="Calibri"/>
        <family val="2"/>
        <scheme val="minor"/>
      </rPr>
      <t>FCISX</t>
    </r>
    <r>
      <rPr>
        <sz val="11"/>
        <color theme="1"/>
        <rFont val="Arial"/>
        <family val="2"/>
      </rPr>
      <t xml:space="preserve">-Franklin Income Series Class C- Strategy: The Fund seeks to maximize income while maintaining prospects for capital appreciation. The Fund will achieve this by investing in a diversified portfolio of debt and equity securities. 
</t>
    </r>
  </si>
  <si>
    <r>
      <rPr>
        <b/>
        <sz val="11"/>
        <color theme="1"/>
        <rFont val="Calibri"/>
        <family val="2"/>
        <scheme val="minor"/>
      </rPr>
      <t>FRUGX</t>
    </r>
    <r>
      <rPr>
        <sz val="11"/>
        <color theme="1"/>
        <rFont val="Arial"/>
        <family val="2"/>
      </rPr>
      <t xml:space="preserve">-Franklin US Government Securities Series Class C- Strategy: The Fund seeks income. Under normal market conditions, the Fund invests at least 80% of its net assets in U.S. government securities. The Fund presently invests substantially all of its assets in Government National Mortgage Association obligations (Ginnie Maes).
</t>
    </r>
  </si>
  <si>
    <r>
      <rPr>
        <b/>
        <sz val="11"/>
        <color theme="1"/>
        <rFont val="Calibri"/>
        <family val="2"/>
        <scheme val="minor"/>
      </rPr>
      <t>FRGSX</t>
    </r>
    <r>
      <rPr>
        <sz val="11"/>
        <color theme="1"/>
        <rFont val="Arial"/>
        <family val="2"/>
      </rPr>
      <t xml:space="preserve">-Franklin Growth Series Class C- Strategy: The Fund seeks capital appreciation. The Fund primarily invests in equity securities that are leaders in their industries.
</t>
    </r>
  </si>
  <si>
    <r>
      <rPr>
        <b/>
        <sz val="11"/>
        <color theme="1"/>
        <rFont val="Calibri"/>
        <family val="2"/>
        <scheme val="minor"/>
      </rPr>
      <t>FCSCX</t>
    </r>
    <r>
      <rPr>
        <sz val="11"/>
        <color theme="1"/>
        <rFont val="Arial"/>
        <family val="2"/>
      </rPr>
      <t xml:space="preserve">-Franklin Adjustable US Government Securities Fund Class C- Strategy: The Fund seeks a high level of current income while providing lower volatility of principal than a fund that invests in fixed-rate securities. The Fund invests at least 80% of its net assets in adjustable-rate U.S. government mortgage securities.
</t>
    </r>
  </si>
  <si>
    <r>
      <rPr>
        <b/>
        <sz val="11"/>
        <color theme="1"/>
        <rFont val="Calibri"/>
        <family val="2"/>
        <scheme val="minor"/>
      </rPr>
      <t>FSGCX</t>
    </r>
    <r>
      <rPr>
        <sz val="11"/>
        <color theme="1"/>
        <rFont val="Arial"/>
        <family val="2"/>
      </rPr>
      <t xml:space="preserve">-Franklin Templeton Strategic Income Fund Class C - Strategy: The Fund seeks to earn a high level of current income. Its secondary goal is capital appreciation over the long term. The Fund invests at least 65% of its assets in U.S. and foreign debt securities.
</t>
    </r>
  </si>
  <si>
    <r>
      <rPr>
        <b/>
        <sz val="11"/>
        <color theme="1"/>
        <rFont val="Calibri"/>
        <family val="2"/>
        <scheme val="minor"/>
      </rPr>
      <t>TEGBX</t>
    </r>
    <r>
      <rPr>
        <sz val="11"/>
        <color theme="1"/>
        <rFont val="Arial"/>
        <family val="2"/>
      </rPr>
      <t xml:space="preserve">-Templeton Global Bond Fund Class C - Strategy: The Fund seeks current income with capital appreciation and growth of income by investing at least 80% of its net assets in "bonds." In addition, the Fund's assets will be invested in issuers located in at least three countries including the U.S.
</t>
    </r>
  </si>
  <si>
    <r>
      <rPr>
        <b/>
        <sz val="11"/>
        <color theme="1"/>
        <rFont val="Calibri"/>
        <family val="2"/>
        <scheme val="minor"/>
      </rPr>
      <t>FDYNX</t>
    </r>
    <r>
      <rPr>
        <sz val="11"/>
        <color theme="1"/>
        <rFont val="Arial"/>
        <family val="2"/>
      </rPr>
      <t>-Franklin Dynatech Class C Strategy: The fund seeks capital appreciation by investing primarily in companies which management believes are leaders in innovation, take advantage of new technologies, have superior management, and benefit from new industry conditions in the dynamically changing global economy.</t>
    </r>
  </si>
  <si>
    <r>
      <rPr>
        <b/>
        <sz val="11"/>
        <color theme="1"/>
        <rFont val="Calibri"/>
        <family val="2"/>
        <scheme val="minor"/>
      </rPr>
      <t>FRDTX</t>
    </r>
    <r>
      <rPr>
        <sz val="11"/>
        <color theme="1"/>
        <rFont val="Arial"/>
        <family val="2"/>
      </rPr>
      <t xml:space="preserve">-Franklin Rising Dividends Class C- Strategy: The fund seeks long-term capital appreciation by investing at least 80% of its net assets in companies of any size that have paid consistently rising dividends.
</t>
    </r>
  </si>
  <si>
    <r>
      <rPr>
        <b/>
        <sz val="11"/>
        <color theme="1"/>
        <rFont val="Calibri"/>
        <family val="2"/>
        <scheme val="minor"/>
      </rPr>
      <t>FLQL</t>
    </r>
    <r>
      <rPr>
        <sz val="11"/>
        <color theme="1"/>
        <rFont val="Calibri"/>
        <family val="2"/>
        <scheme val="minor"/>
      </rPr>
      <t xml:space="preserve">-Franklin LibertyQ US Equity ETF- Tracks a multi-factor index that aims to reduce market volatility and deliver a smoother investor experience over the long term. Seeks to provide investment results that closely correspond, before fees and expenses, to the performance of its corresponding underlying index, LibertyQ U.S. Large Cap Equity Index Pursues low downside capture and strong risk-adjusted returns over the long term. The index methodology employs a rules-based, custom multi-factor approach providing exposure to four well known factors: 50% Quality, 30% Value, 10% Momentum and 10% Low Volatility
</t>
    </r>
  </si>
  <si>
    <r>
      <t>è</t>
    </r>
    <r>
      <rPr>
        <b/>
        <sz val="12"/>
        <color theme="1"/>
        <rFont val="Times New Roman"/>
        <family val="1"/>
      </rPr>
      <t xml:space="preserve"> Equipment, Furniture &amp; Vehicles</t>
    </r>
    <r>
      <rPr>
        <sz val="12"/>
        <color theme="1"/>
        <rFont val="Calibri"/>
        <family val="2"/>
      </rPr>
      <t xml:space="preserve"> </t>
    </r>
  </si>
  <si>
    <t>Additions:</t>
  </si>
  <si>
    <t>Month in Service</t>
  </si>
  <si>
    <t>Funding Source</t>
  </si>
  <si>
    <t>Supplier</t>
  </si>
  <si>
    <t>Description</t>
  </si>
  <si>
    <t>Cost</t>
  </si>
  <si>
    <t>NYS DOH Navigator</t>
  </si>
  <si>
    <t>I.T.S.</t>
  </si>
  <si>
    <t>Dell Outlet Latitude Laptop</t>
  </si>
  <si>
    <t>Agency</t>
  </si>
  <si>
    <t>NYSDOT</t>
  </si>
  <si>
    <t>Deposit of 5310 Vehicle</t>
  </si>
  <si>
    <t>NYS DOT 5310</t>
  </si>
  <si>
    <t>Possession of Vehicle</t>
  </si>
  <si>
    <t>Total Additions</t>
  </si>
  <si>
    <t>Month</t>
  </si>
  <si>
    <t>Sold thru</t>
  </si>
  <si>
    <t>Mileage</t>
  </si>
  <si>
    <t>Our Gain</t>
  </si>
  <si>
    <t>Enterprise Fleet</t>
  </si>
  <si>
    <t>2014 Dodge Grand Caravan</t>
  </si>
  <si>
    <t>2012 Ford Fusion</t>
  </si>
  <si>
    <t>2013 Dodge Grand Caravan</t>
  </si>
  <si>
    <t>2017 Dodge Grand Caravan</t>
  </si>
  <si>
    <t>2017 Ford Taurus</t>
  </si>
  <si>
    <t>2018 Ford Taurus</t>
  </si>
  <si>
    <t>Total Sales</t>
  </si>
  <si>
    <r>
      <t>è</t>
    </r>
    <r>
      <rPr>
        <b/>
        <sz val="14"/>
        <color theme="1"/>
        <rFont val="Times New Roman"/>
        <family val="1"/>
      </rPr>
      <t xml:space="preserve">Accounts Payable - </t>
    </r>
    <r>
      <rPr>
        <sz val="14"/>
        <color theme="1"/>
        <rFont val="Calibri"/>
        <family val="2"/>
        <scheme val="minor"/>
      </rPr>
      <t xml:space="preserve">At August 2025, accounts payable liability is $15,985.55. All accounts payable liability is being paid timely within 28 days. </t>
    </r>
  </si>
  <si>
    <t>Columbia County</t>
  </si>
  <si>
    <t>Vehicle Fuel &amp; Repairs</t>
  </si>
  <si>
    <t>Various Medical Providers</t>
  </si>
  <si>
    <t>CSP Clinical Services</t>
  </si>
  <si>
    <t>Total AP from Above</t>
  </si>
  <si>
    <r>
      <t>è</t>
    </r>
    <r>
      <rPr>
        <sz val="14"/>
        <color theme="1"/>
        <rFont val="Times New Roman"/>
        <family val="1"/>
      </rPr>
      <t xml:space="preserve"> </t>
    </r>
    <r>
      <rPr>
        <b/>
        <sz val="14"/>
        <color theme="1"/>
        <rFont val="Times New Roman"/>
        <family val="1"/>
      </rPr>
      <t>Line of Credit</t>
    </r>
    <r>
      <rPr>
        <sz val="14"/>
        <color theme="1"/>
        <rFont val="Calibri"/>
        <family val="2"/>
      </rPr>
      <t xml:space="preserve"> - Received notification from The Bank of Greene County. Bank renewed our $100,000 line for one year until October 1, 2025.  </t>
    </r>
  </si>
  <si>
    <r>
      <t>è</t>
    </r>
    <r>
      <rPr>
        <sz val="12"/>
        <color theme="1"/>
        <rFont val="Times New Roman"/>
        <family val="1"/>
      </rPr>
      <t xml:space="preserve"> </t>
    </r>
    <r>
      <rPr>
        <b/>
        <sz val="12"/>
        <color theme="1"/>
        <rFont val="Times New Roman"/>
        <family val="1"/>
      </rPr>
      <t>Accrued Expenses</t>
    </r>
    <r>
      <rPr>
        <sz val="12"/>
        <color theme="1"/>
        <rFont val="Calibri"/>
        <family val="2"/>
      </rPr>
      <t xml:space="preserve"> - As of December 31, 2019, we have accrued $21,664 for the agency's 2019 cost for the pension plan. The agency 401(k) employer contribution amount of $18,814 and third party administration of pension plan in the amount of $2,850</t>
    </r>
  </si>
  <si>
    <r>
      <t>è</t>
    </r>
    <r>
      <rPr>
        <sz val="12"/>
        <color theme="1"/>
        <rFont val="Times New Roman"/>
        <family val="1"/>
      </rPr>
      <t xml:space="preserve"> </t>
    </r>
    <r>
      <rPr>
        <b/>
        <sz val="12"/>
        <color theme="1"/>
        <rFont val="Calibri"/>
        <family val="2"/>
      </rPr>
      <t>Advance Funding Payable</t>
    </r>
    <r>
      <rPr>
        <sz val="12"/>
        <color theme="1"/>
        <rFont val="Calibri"/>
        <family val="2"/>
      </rPr>
      <t xml:space="preserve"> -  When the Agency receives a deposit for work to be done in the future, it recognizes it by debiting (increasing) cash and crediting (increasing) a deferred revenue account or "Advance Funding Payable"(a liability account). This transaction doesn't affect the income statement -- the deferred revenue is not really revenue per se. The deferred account functions like a holding place until services are provided. The entire transaction affects only balance sheet accounts. Once the service is provided, "real" revenue is recognized with an entry that debits (decreases) the deferred account and credits (increases) the revenue account. Program income received in advance consists of the following as of August 2025:</t>
    </r>
  </si>
  <si>
    <t>Fund Name</t>
  </si>
  <si>
    <t xml:space="preserve">Beginning Balance at January 1st </t>
  </si>
  <si>
    <t>+ Contributions</t>
  </si>
  <si>
    <t>&lt;Distributions&gt;</t>
  </si>
  <si>
    <t>Ending Balance at August, 2025</t>
  </si>
  <si>
    <t>Prescription Rx Access</t>
  </si>
  <si>
    <t>Transportation: Acram/Copake</t>
  </si>
  <si>
    <t xml:space="preserve">General Operating Support </t>
  </si>
  <si>
    <t>2024- 2026 Operating Support</t>
  </si>
  <si>
    <t>Hudson River Bank &amp; Trust</t>
  </si>
  <si>
    <t>2024 - 2026 Transportation</t>
  </si>
  <si>
    <t xml:space="preserve">Mother Cabrini </t>
  </si>
  <si>
    <t>2025 Transportation Support</t>
  </si>
  <si>
    <t>Total Advance Funding Payable</t>
  </si>
  <si>
    <r>
      <t>è</t>
    </r>
    <r>
      <rPr>
        <sz val="12"/>
        <color theme="1"/>
        <rFont val="Times New Roman"/>
        <family val="1"/>
      </rPr>
      <t xml:space="preserve"> </t>
    </r>
    <r>
      <rPr>
        <b/>
        <sz val="12"/>
        <color theme="1"/>
        <rFont val="Calibri"/>
        <family val="2"/>
      </rPr>
      <t>Donor Restricted Funds</t>
    </r>
    <r>
      <rPr>
        <sz val="12"/>
        <color theme="1"/>
        <rFont val="Calibri"/>
        <family val="2"/>
      </rPr>
      <t xml:space="preserve"> - Donor restrictions funds are donated contributions that have only a one-sided economic benefit and are restricted to a specific period of time or set of conditions. To decrease this revenue, employ another account named Net Assets Released From Restrictions, which reports as revenue.  Below donor restrictions funds represent donations to be used for the following specific program purpose as of August 2025: </t>
    </r>
  </si>
  <si>
    <r>
      <t>Columbia County</t>
    </r>
    <r>
      <rPr>
        <sz val="11"/>
        <color theme="1"/>
        <rFont val="Times New Roman"/>
        <family val="1"/>
      </rPr>
      <t xml:space="preserve"> -</t>
    </r>
    <r>
      <rPr>
        <sz val="9"/>
        <color theme="1"/>
        <rFont val="Times New Roman"/>
        <family val="1"/>
      </rPr>
      <t>CARTS &amp; Receptionist</t>
    </r>
  </si>
  <si>
    <t>Columbia County Depts.-CARTS</t>
  </si>
  <si>
    <t>Columbia County Cancer Fund</t>
  </si>
  <si>
    <t>Greene County Cancer Fund</t>
  </si>
  <si>
    <t>Rip Van Winkle Foundation - CARTS</t>
  </si>
  <si>
    <t>The Home for the Aged - CARTS</t>
  </si>
  <si>
    <t>Total, Donor Restricted Funds</t>
  </si>
  <si>
    <t>Date</t>
  </si>
  <si>
    <t>Balance</t>
  </si>
  <si>
    <t>Grant Receivable</t>
  </si>
  <si>
    <t>Investment</t>
  </si>
  <si>
    <t>Credit Sales</t>
  </si>
  <si>
    <t>Dyson</t>
  </si>
  <si>
    <t xml:space="preserve">Medicaid </t>
  </si>
  <si>
    <t>Plug</t>
  </si>
  <si>
    <t>State</t>
  </si>
  <si>
    <t>Federal</t>
  </si>
  <si>
    <t>2025 change in value =</t>
  </si>
  <si>
    <t>Local</t>
  </si>
  <si>
    <t>Balance, January 1</t>
  </si>
  <si>
    <t>Balance, October 31 2024</t>
  </si>
  <si>
    <t>County</t>
  </si>
  <si>
    <t>Annual Credit Sales</t>
  </si>
  <si>
    <t>Avg A?R</t>
  </si>
  <si>
    <t>A/R Ratio</t>
  </si>
  <si>
    <t>Days</t>
  </si>
  <si>
    <t>Average 2023</t>
  </si>
  <si>
    <t>2024 Average</t>
  </si>
  <si>
    <t>2024 average</t>
  </si>
  <si>
    <t>03/05/2025</t>
  </si>
  <si>
    <t>03/07/2025</t>
  </si>
  <si>
    <t>03/10/2025</t>
  </si>
  <si>
    <t>03/12/2025</t>
  </si>
  <si>
    <t>03/13/2025</t>
  </si>
  <si>
    <t>03/14/2025</t>
  </si>
  <si>
    <t>03/18/2025</t>
  </si>
  <si>
    <t>03/20/2025</t>
  </si>
  <si>
    <t>03/25/2025</t>
  </si>
  <si>
    <t>03/26/2025</t>
  </si>
  <si>
    <t>03/27/2025</t>
  </si>
  <si>
    <t>03/28/2025</t>
  </si>
  <si>
    <t>04/01/2025</t>
  </si>
  <si>
    <t>04/02/2025</t>
  </si>
  <si>
    <t>04/04/2025</t>
  </si>
  <si>
    <t>04/09/2025</t>
  </si>
  <si>
    <t>04/10/2025</t>
  </si>
  <si>
    <t>04/11/2025</t>
  </si>
  <si>
    <t>04/15/2025</t>
  </si>
  <si>
    <t>04/17/2025</t>
  </si>
  <si>
    <t>04/21/2025</t>
  </si>
  <si>
    <t>04/22/2025</t>
  </si>
  <si>
    <t>04/23/2025</t>
  </si>
  <si>
    <t>04/25/2025</t>
  </si>
  <si>
    <t>04/29/2025</t>
  </si>
  <si>
    <t>05/01/2025</t>
  </si>
  <si>
    <t>05/05/2025</t>
  </si>
  <si>
    <t>05/06/2025</t>
  </si>
  <si>
    <t>05/07/2025</t>
  </si>
  <si>
    <t>05/08/2025</t>
  </si>
  <si>
    <t>05/15/2025</t>
  </si>
  <si>
    <t>05/16/2025</t>
  </si>
  <si>
    <t>05/20/2025</t>
  </si>
  <si>
    <t>05/21/2025</t>
  </si>
  <si>
    <t>05/22/2025</t>
  </si>
  <si>
    <t>05/23/2025</t>
  </si>
  <si>
    <t>05/27/2025</t>
  </si>
  <si>
    <t>05/28/2025</t>
  </si>
  <si>
    <t>06/03/2025</t>
  </si>
  <si>
    <t>06/04/2025</t>
  </si>
  <si>
    <t>06/05/2025</t>
  </si>
  <si>
    <t>06/06/2025</t>
  </si>
  <si>
    <t>06/09/2025</t>
  </si>
  <si>
    <t>06/12/2025</t>
  </si>
  <si>
    <t>06/13/2025</t>
  </si>
  <si>
    <t>06/17/2025</t>
  </si>
  <si>
    <t>06/18/2025</t>
  </si>
  <si>
    <t>06/20/2025</t>
  </si>
  <si>
    <t>06/23/2025</t>
  </si>
  <si>
    <t>06/24/2025</t>
  </si>
  <si>
    <t>06/25/2025</t>
  </si>
  <si>
    <t>06/26/2025</t>
  </si>
  <si>
    <t>06/27/2025</t>
  </si>
  <si>
    <t>06/30/2025</t>
  </si>
  <si>
    <t>Average 2025</t>
  </si>
  <si>
    <t xml:space="preserve">For the Year Ended December 31, 2020 </t>
  </si>
  <si>
    <t>Actual Revenue and Expenses            (Jan'20 to June'20)</t>
  </si>
  <si>
    <t>Budgeted Revenue and Expenses       (July'20 to Dec'20)</t>
  </si>
  <si>
    <t>Updated Operating Budget - December 31, 2020</t>
  </si>
  <si>
    <t>Original Operating Budget - December 31, 2020</t>
  </si>
  <si>
    <t>Rip Van Winkle Foundation</t>
  </si>
  <si>
    <t>Berkshire Taconic Foundation</t>
  </si>
  <si>
    <t>Revenue-Triskeles Foundation</t>
  </si>
  <si>
    <t xml:space="preserve">--&gt; Until we receive guidance, our PPP loan in the amount of $197.4K is being treated as a liability. </t>
  </si>
  <si>
    <t>--&gt; We expect RHN's (1/20-12/20) &amp; Tobacco's (7/1/20-6/30/21) budget to be cut, updated operating budget assumes a 34% cut in budget in each program</t>
  </si>
  <si>
    <t>--&gt; While always a chance our Navigator (8/1/20-7/31/21) budget will be reduced, we assumed budget will remain at current $330K level.</t>
  </si>
  <si>
    <t xml:space="preserve">--&gt; We assume going forward there will be a small increase in Medicaid revenue when compared to the first three months of the COVID-19 period. </t>
  </si>
  <si>
    <t>--&gt; Assumptions that current open positions will not be filled until the start of 2021 year.</t>
  </si>
  <si>
    <t>--&gt; All grants receivables deemed collectable and no allowance for uncollectables/bad debt.</t>
  </si>
  <si>
    <t>Columbia County Community Healthcare Consortium, Inc.</t>
  </si>
  <si>
    <t>Grants Receivable Aging Summary as of August 31, 2025</t>
  </si>
  <si>
    <t>August</t>
  </si>
  <si>
    <t>July</t>
  </si>
  <si>
    <t>June</t>
  </si>
  <si>
    <t>May &amp; Older</t>
  </si>
  <si>
    <t>TOTAL  $</t>
  </si>
  <si>
    <t>Columbia County DOH - Comm. Health Improve Plan (CHIP) Qtrly</t>
  </si>
  <si>
    <t>Columbia County Budget Appropriation - Unrestricted</t>
  </si>
  <si>
    <t>Columbia County - Office of the Aging</t>
  </si>
  <si>
    <t>NY Connects ADRC         11/22 to 09/23</t>
  </si>
  <si>
    <t>NY Connects E&amp;EP         04/23 to 03/24</t>
  </si>
  <si>
    <t>NY Connects E&amp;EP  04/25 to 03/26</t>
  </si>
  <si>
    <t>MIPPA 03/25 to 08/25</t>
  </si>
  <si>
    <t>Total OFA-NY Connects</t>
  </si>
  <si>
    <t>Columbia Memorial Hospital - Comm. Health Improvement Plan</t>
  </si>
  <si>
    <t>Greene County DSS - Sr. Case Worker</t>
  </si>
  <si>
    <t>Greene County DSS - HEAPS</t>
  </si>
  <si>
    <t xml:space="preserve">Greene County Office of the Aging - NY Connects </t>
  </si>
  <si>
    <t>Greene County Public Health Department</t>
  </si>
  <si>
    <t>IPA/Navigator Program</t>
  </si>
  <si>
    <t>NYSDOH 08/24 to 07/25 - Year#6 of 6</t>
  </si>
  <si>
    <t>NYSDOH 08/25 to 01/27 - Year#7 of 7</t>
  </si>
  <si>
    <t>Total IPA/Navigator Program</t>
  </si>
  <si>
    <t>Rural Health Network</t>
  </si>
  <si>
    <t>NYSARH 4/24 to 3/25</t>
  </si>
  <si>
    <t>NYSDOH 01/25 to 09/25 Yr#6 Extended (Quarterly Voucher)</t>
  </si>
  <si>
    <t>Total Rural Health Network</t>
  </si>
  <si>
    <t>Transportation</t>
  </si>
  <si>
    <t>Columbia County Dept. of Human Services (Qrtly)</t>
  </si>
  <si>
    <t>Columbia County Budget Appropriation CARTS</t>
  </si>
  <si>
    <t>Columbia Memorial Hospital</t>
  </si>
  <si>
    <t xml:space="preserve">Greene County - Human Services - Transportation </t>
  </si>
  <si>
    <t>Office for the Aging - Senior Transportation</t>
  </si>
  <si>
    <t>ProPrinter - Donation for CARTS Booklet</t>
  </si>
  <si>
    <t>Albany Medical Center - CARTS Fundraiser</t>
  </si>
  <si>
    <t>Total Transportation</t>
  </si>
  <si>
    <t>Columbia Memorial Hospital-Comm Health Plan</t>
  </si>
  <si>
    <t>The Home for the Aged-Pledge (expect Sept'24)</t>
  </si>
  <si>
    <t>Miscellaneous - ProPrinter</t>
  </si>
  <si>
    <t>Grants Receivable at 8/31/2025</t>
  </si>
  <si>
    <t>Aging Percent %</t>
  </si>
  <si>
    <t>Payments Received After August 2025</t>
  </si>
  <si>
    <t>Greene County DSS - Sr, Caseworker</t>
  </si>
  <si>
    <t>Greene County Office for the Aging</t>
  </si>
  <si>
    <t>Total AR Payments Received After August 31, 2025</t>
  </si>
  <si>
    <t>August 31 AR Balance at September 23, 2025</t>
  </si>
  <si>
    <t>Other Receipts of Interest:</t>
  </si>
  <si>
    <t>Current Month</t>
  </si>
  <si>
    <t>Previous Month</t>
  </si>
  <si>
    <t>Three Months Ago</t>
  </si>
  <si>
    <t>Older than Three Months</t>
  </si>
  <si>
    <t>REVENUES, SUPPORTS, AND EXPENSES</t>
  </si>
  <si>
    <t>GRANT AND CONTRACT REVENUE (all sources of revenue operating on a reimbursement basis, occurring on a contract rather than fiscal year, and w/o carryover from one contract year to the next)</t>
  </si>
  <si>
    <t>Program Name</t>
  </si>
  <si>
    <t>Funder</t>
  </si>
  <si>
    <t>Grant No.</t>
  </si>
  <si>
    <t>Start Date</t>
  </si>
  <si>
    <t>End Date</t>
  </si>
  <si>
    <t>Grant/Contract Budget</t>
  </si>
  <si>
    <t>Income Received Contract YTD</t>
  </si>
  <si>
    <t>Grants           Receivable</t>
  </si>
  <si>
    <t>Actual Expenses Contract YTD</t>
  </si>
  <si>
    <t xml:space="preserve"> Unspent Funds</t>
  </si>
  <si>
    <t>Grant Advance Liability</t>
  </si>
  <si>
    <t>Rural Health Network Program- 2025 Extension</t>
  </si>
  <si>
    <t>NYSDOH</t>
  </si>
  <si>
    <t>C34154GG</t>
  </si>
  <si>
    <t>In Person Assistors &amp; Navigators-Yr#6 of 6</t>
  </si>
  <si>
    <t>C34567GG</t>
  </si>
  <si>
    <t>In Person Assistors &amp; Navigators-Yr#7 of 7</t>
  </si>
  <si>
    <t>Senior Transportation Services - 2025</t>
  </si>
  <si>
    <t>CoCo Office for the Aging</t>
  </si>
  <si>
    <t>Subcontract</t>
  </si>
  <si>
    <t>NY Connects Expansion &amp; Enhancement Program</t>
  </si>
  <si>
    <r>
      <t>Medicare Improvements-Patients &amp; Providers (MIPPA)</t>
    </r>
    <r>
      <rPr>
        <b/>
        <sz val="10"/>
        <color rgb="FFFF0000"/>
        <rFont val="Arial"/>
        <family val="2"/>
      </rPr>
      <t xml:space="preserve"> </t>
    </r>
  </si>
  <si>
    <t>Green County Dept Human Svcs</t>
  </si>
  <si>
    <r>
      <t>Transportation Services</t>
    </r>
    <r>
      <rPr>
        <b/>
        <sz val="11"/>
        <color rgb="FFFF0000"/>
        <rFont val="Arial"/>
        <family val="2"/>
      </rPr>
      <t xml:space="preserve"> </t>
    </r>
  </si>
  <si>
    <t>CoCo Dept. of Human Services</t>
  </si>
  <si>
    <t>Community Health Improvement Plan (CHIP)</t>
  </si>
  <si>
    <t>CoCo Dept of Health</t>
  </si>
  <si>
    <t>Agreement</t>
  </si>
  <si>
    <r>
      <t xml:space="preserve">Greene County DSS </t>
    </r>
    <r>
      <rPr>
        <sz val="10"/>
        <color theme="1"/>
        <rFont val="Arial"/>
        <family val="2"/>
      </rPr>
      <t xml:space="preserve">(Family-Centered Case Management) </t>
    </r>
  </si>
  <si>
    <r>
      <t xml:space="preserve">Greene County DSS </t>
    </r>
    <r>
      <rPr>
        <sz val="10"/>
        <color theme="1"/>
        <rFont val="Arial"/>
        <family val="2"/>
      </rPr>
      <t xml:space="preserve">(HEAP Program )  </t>
    </r>
  </si>
  <si>
    <t>Grants subtotal</t>
  </si>
  <si>
    <t>FOUNDATION REVENUE (all sources of revenue providing advance payment of funds, which may be carried over from one fiscal year to the next)</t>
  </si>
  <si>
    <t>Contract Amount</t>
  </si>
  <si>
    <t>Balance as of 01/01/2025</t>
  </si>
  <si>
    <t>Actual Expenses YTD</t>
  </si>
  <si>
    <t>With Donor Restrictions Net Assets</t>
  </si>
  <si>
    <t>Deferred Revenue</t>
  </si>
  <si>
    <t>Transportation Services</t>
  </si>
  <si>
    <t>Transportation Services (2017)</t>
  </si>
  <si>
    <t>Transportation Services (2019)</t>
  </si>
  <si>
    <r>
      <t xml:space="preserve">Transportation Services (2020)  </t>
    </r>
    <r>
      <rPr>
        <b/>
        <sz val="11"/>
        <color theme="1"/>
        <rFont val="Arial"/>
        <family val="2"/>
      </rPr>
      <t xml:space="preserve"> </t>
    </r>
  </si>
  <si>
    <t xml:space="preserve">Ancram/Copake Prescription Access (2020/2021) </t>
  </si>
  <si>
    <t>None</t>
  </si>
  <si>
    <r>
      <t>Transportation Services (2022)</t>
    </r>
    <r>
      <rPr>
        <b/>
        <sz val="11"/>
        <color rgb="FFFF0000"/>
        <rFont val="Arial"/>
        <family val="2"/>
      </rPr>
      <t xml:space="preserve">  </t>
    </r>
  </si>
  <si>
    <r>
      <t>Transportation Services (2023)</t>
    </r>
    <r>
      <rPr>
        <b/>
        <sz val="11"/>
        <color rgb="FFFF0000"/>
        <rFont val="Arial"/>
        <family val="2"/>
      </rPr>
      <t xml:space="preserve">  </t>
    </r>
  </si>
  <si>
    <t>Transportation Services (2025)</t>
  </si>
  <si>
    <t>Foundation for Community Health (CARTS)</t>
  </si>
  <si>
    <t xml:space="preserve">General Operating Support (12-Months) </t>
  </si>
  <si>
    <t>Ancram/Copake Prescription Access (2025)</t>
  </si>
  <si>
    <t xml:space="preserve">General Operating Support (24-Months) </t>
  </si>
  <si>
    <t xml:space="preserve">Rip Van Winkle Foundation </t>
  </si>
  <si>
    <t xml:space="preserve">General Operating Support  (36-Months) </t>
  </si>
  <si>
    <t>Alternative Cancer Treatments</t>
  </si>
  <si>
    <t>Private Donor</t>
  </si>
  <si>
    <t>none</t>
  </si>
  <si>
    <t>Transportation-Vehicle &amp; Communication Upgrade</t>
  </si>
  <si>
    <t>Mother Cabrini Health Foundation</t>
  </si>
  <si>
    <t>Transportation Services (2024 - 2025)</t>
  </si>
  <si>
    <t>Hudson River Bank Trust Foundation (CARTS)</t>
  </si>
  <si>
    <t>Total Grant Advances</t>
  </si>
  <si>
    <t xml:space="preserve">Foundation revenue subtotal </t>
  </si>
  <si>
    <t>ALL OTHER REVENUE</t>
  </si>
  <si>
    <t>Category</t>
  </si>
  <si>
    <t>Amount</t>
  </si>
  <si>
    <t>Income Received YTD</t>
  </si>
  <si>
    <t>Grants Receivable</t>
  </si>
  <si>
    <t>Unspent Funds</t>
  </si>
  <si>
    <t>With Donor Restrictions</t>
  </si>
  <si>
    <t xml:space="preserve">County Government - 2022 </t>
  </si>
  <si>
    <t>Columbia County BOS 2022 Budget Appropriation</t>
  </si>
  <si>
    <t xml:space="preserve">County Government - 2023 </t>
  </si>
  <si>
    <t>Columbia County BOS 2023 Budget Appropriation</t>
  </si>
  <si>
    <t>County Government - 2025</t>
  </si>
  <si>
    <t>Columbia County BOS 2025 Budget Appropriation</t>
  </si>
  <si>
    <t xml:space="preserve">County Departments - 2023 </t>
  </si>
  <si>
    <t>Columbia County Departments 2023 Donations (CARTS)</t>
  </si>
  <si>
    <t>County Departments - 2025</t>
  </si>
  <si>
    <t>Columbia County Departments 2025 Donations (CARTS)</t>
  </si>
  <si>
    <t xml:space="preserve">Columbia Memorial Hospital </t>
  </si>
  <si>
    <t>Collaborative Community Health Planning Jan'25-Dec'25</t>
  </si>
  <si>
    <t>Donations</t>
  </si>
  <si>
    <t xml:space="preserve">Transportation Clients  </t>
  </si>
  <si>
    <t>Fundraiser - Annual Reconciliation Event</t>
  </si>
  <si>
    <t xml:space="preserve">Transportation Fundraiser </t>
  </si>
  <si>
    <t>Cancer Donations - Columbia County</t>
  </si>
  <si>
    <t>Cancer Donations - Greene County</t>
  </si>
  <si>
    <t>The Home of the Aged  (CARTS)</t>
  </si>
  <si>
    <t>All other revenue subtotal</t>
  </si>
  <si>
    <t>Total Donor Restrictions</t>
  </si>
  <si>
    <t>Expenses from 01/2014 to 8/2014</t>
  </si>
  <si>
    <t>Donations from Transport. Clients</t>
  </si>
  <si>
    <t>Accounts Receivable</t>
  </si>
  <si>
    <t>Difference</t>
  </si>
  <si>
    <t>Reimbursements for transportation costs</t>
  </si>
  <si>
    <t>Interest Received on Late Payments from NYS</t>
  </si>
  <si>
    <t>Donations to CCCHC</t>
  </si>
  <si>
    <t>Transportation-SUNY</t>
  </si>
  <si>
    <t>AR from Above</t>
  </si>
  <si>
    <t>QuickBooks AR at 08/31/2021</t>
  </si>
  <si>
    <t>Diff Transportation CMH &amp; Circulation &amp; Other</t>
  </si>
  <si>
    <t>Receivables</t>
  </si>
  <si>
    <t>Add</t>
  </si>
  <si>
    <t>CMH</t>
  </si>
  <si>
    <t>Greene Cty Pub He Dep</t>
  </si>
  <si>
    <t>HRBT</t>
  </si>
  <si>
    <t>Medicaid</t>
  </si>
  <si>
    <t>Total</t>
  </si>
  <si>
    <t>Grants Receivable Aging Summary as of December 31, 2024</t>
  </si>
  <si>
    <t>December</t>
  </si>
  <si>
    <t>November</t>
  </si>
  <si>
    <t>October</t>
  </si>
  <si>
    <t>Sept. &amp; Older</t>
  </si>
  <si>
    <t>Columbia County Dept. of Human Services</t>
  </si>
  <si>
    <t>Transportation Services (Quarterly Voucher)</t>
  </si>
  <si>
    <t>Grant Development Services (Quarterly Voucher)</t>
  </si>
  <si>
    <t>Total Columbia County Dept. Human Services</t>
  </si>
  <si>
    <t>CC Dept of Health: HEALing Community Impact $</t>
  </si>
  <si>
    <t>CC Dept of Health: HEALing Community Study</t>
  </si>
  <si>
    <t>Columbia County Dept. of Health - Comm. Health Improvement Planning</t>
  </si>
  <si>
    <t>NY Connects E&amp;EP         04/24 to 03/25</t>
  </si>
  <si>
    <t>Greene County DSS - HEAP Worker</t>
  </si>
  <si>
    <t xml:space="preserve">Greene County Public Health - Comm. Health Improvement Planning </t>
  </si>
  <si>
    <t>NYSDOH 08/24 to 07/25 - Year #6 of 6</t>
  </si>
  <si>
    <t>NYSDOH 01/24 to 12/24 Yr#6 (Quarterly Voucher)</t>
  </si>
  <si>
    <t>HRBT Foundation - Children &amp; Adult Rural Transportation (CARTS)</t>
  </si>
  <si>
    <t>Columbia Memorial Hospital - Transportation</t>
  </si>
  <si>
    <t>Tobacco-Free Action</t>
  </si>
  <si>
    <t>NYSDOH 07/23 to 06/24 - Year#5 of 5</t>
  </si>
  <si>
    <t>Total Tobacco-Free Action</t>
  </si>
  <si>
    <t>Integrated Cancer Services Program</t>
  </si>
  <si>
    <t>COLA CSP Infrastructure</t>
  </si>
  <si>
    <t>NYSDOH Infrastructure Grant 04/17 to 03/18</t>
  </si>
  <si>
    <t>NYSDOH Infrastructure Grant 04/18 to 09/18</t>
  </si>
  <si>
    <t>NYSDOH Clinical Services Grant 04/17 to 03/18</t>
  </si>
  <si>
    <t>NYSDOH Clinical Services Grant 04/18 to 09/18</t>
  </si>
  <si>
    <t>HRI Clinical Services 07/18 to 09/18</t>
  </si>
  <si>
    <t>Total Integrated Cancer Services Program</t>
  </si>
  <si>
    <t xml:space="preserve">Facilitated Enrollment Program </t>
  </si>
  <si>
    <t>NYSDOH 01/13 to 12/13 (Ends Oct 2013)</t>
  </si>
  <si>
    <t>Total Facilitated Enrollment Program</t>
  </si>
  <si>
    <t>FQHC Feasibility Study</t>
  </si>
  <si>
    <t>HRSA</t>
  </si>
  <si>
    <t>Total FQHC Feasibility Study</t>
  </si>
  <si>
    <t>Columbia County - BOS Appropriation</t>
  </si>
  <si>
    <t>Coarc Strategic Planning</t>
  </si>
  <si>
    <t>Lori Torgersen</t>
  </si>
  <si>
    <t>Miscellaneous</t>
  </si>
  <si>
    <t>Grants Receivable at 12/31/2024</t>
  </si>
  <si>
    <t>Payments Received After December 31, 2024</t>
  </si>
  <si>
    <t>Navigator Program - August 2024 Voucher</t>
  </si>
  <si>
    <t>Greene County DSS - Sr Caseworker</t>
  </si>
  <si>
    <t>OFA: NY Connects - October Voucher</t>
  </si>
  <si>
    <t>Total AR Payments Received After December 31, 2024</t>
  </si>
  <si>
    <t>December 31st AR Balance at January 28, 2025</t>
  </si>
  <si>
    <t>Columbia County Budget Appropriation (Unrestricted Funds)</t>
  </si>
  <si>
    <t>Columbia County OFA Sr Transportation</t>
  </si>
  <si>
    <t>Columbia County Departments (various) For CARTS</t>
  </si>
  <si>
    <t>Foundation for Community Health -CARTS for 2025 Year</t>
  </si>
  <si>
    <t>HRBT - CARTS for 2025 Year</t>
  </si>
  <si>
    <t>Mother Cabrini - CARTS for 2025 Year</t>
  </si>
  <si>
    <r>
      <t xml:space="preserve">Statement of Financial Position </t>
    </r>
    <r>
      <rPr>
        <b/>
        <sz val="11"/>
        <color theme="1"/>
        <rFont val="Calibri"/>
        <family val="2"/>
        <scheme val="minor"/>
      </rPr>
      <t>(Balance Sheet)</t>
    </r>
  </si>
  <si>
    <t>ASSETS</t>
  </si>
  <si>
    <t>Current Assets</t>
  </si>
  <si>
    <t>August 31 2025</t>
  </si>
  <si>
    <t>August 31 2024</t>
  </si>
  <si>
    <t>Checking/Savings</t>
  </si>
  <si>
    <t>Operating - First Niagara</t>
  </si>
  <si>
    <t>Closed</t>
  </si>
  <si>
    <t>Money Market - First Niagara</t>
  </si>
  <si>
    <t>Operating - Bank of Greene Co.</t>
  </si>
  <si>
    <t>Savings - Live Oak Bank</t>
  </si>
  <si>
    <t>Payroll - Bank of Greene Co.</t>
  </si>
  <si>
    <t>Petty Cash</t>
  </si>
  <si>
    <t>Total Checking/Savings</t>
  </si>
  <si>
    <t>Other Current Assets</t>
  </si>
  <si>
    <t xml:space="preserve">Grants Receivable </t>
  </si>
  <si>
    <t>Miscellaneous Receivable</t>
  </si>
  <si>
    <t>Prepaid Accounts</t>
  </si>
  <si>
    <t>Prepaid Payroll Tax</t>
  </si>
  <si>
    <t>Total Other Current Assets</t>
  </si>
  <si>
    <t>Total Current Assets</t>
  </si>
  <si>
    <t>Fixed Assets</t>
  </si>
  <si>
    <t>Furniture and Equipment</t>
  </si>
  <si>
    <t>Mini Bus</t>
  </si>
  <si>
    <t>Vehicles</t>
  </si>
  <si>
    <t>Less: Accumulated Depreciation</t>
  </si>
  <si>
    <t>Total Fixed Assets-Net</t>
  </si>
  <si>
    <t>.</t>
  </si>
  <si>
    <t>TOTAL ASSETS</t>
  </si>
  <si>
    <t>LIABILITIES &amp; EQUITY</t>
  </si>
  <si>
    <t>LIABILITIES</t>
  </si>
  <si>
    <t>Current Liabilities</t>
  </si>
  <si>
    <t xml:space="preserve">Accounts Payable </t>
  </si>
  <si>
    <t>Credit Card - Payable</t>
  </si>
  <si>
    <t>PPP Loan Liability</t>
  </si>
  <si>
    <t>Vehicle Lease Liability</t>
  </si>
  <si>
    <t>Other Accrued Expenses</t>
  </si>
  <si>
    <t>Accrued-Medicaid Billing Error</t>
  </si>
  <si>
    <t>Advance Funding Payable</t>
  </si>
  <si>
    <t>Total  · Current Liabilities</t>
  </si>
  <si>
    <t>Payroll Liabilities</t>
  </si>
  <si>
    <t>Accrued Wages &amp; Taxes</t>
  </si>
  <si>
    <t>Accrued Compensating Absences</t>
  </si>
  <si>
    <t>Health Insurance Payable</t>
  </si>
  <si>
    <t>Dental Insurance Payable</t>
  </si>
  <si>
    <t>Total  · Payroll Liabilities</t>
  </si>
  <si>
    <t>Total Current &amp; Payroll Liabilities</t>
  </si>
  <si>
    <t>EQUITY</t>
  </si>
  <si>
    <t>Without Donor Restrictions</t>
  </si>
  <si>
    <t>TOTAL EQUITY</t>
  </si>
  <si>
    <t>TOTAL LIABILITIES &amp; EQUITY</t>
  </si>
  <si>
    <t>Ratio of (Cash &amp; Receivables) to Liabilities</t>
  </si>
  <si>
    <t>Statement of Activities</t>
  </si>
  <si>
    <t>Eight Months Ended August 31, 2025 and August 31, 2024</t>
  </si>
  <si>
    <t>Remarks</t>
  </si>
  <si>
    <t>August '25 vs '24</t>
  </si>
  <si>
    <t>Increase in Medicaid ridership beginning of 2025</t>
  </si>
  <si>
    <t>40050 Medicare/Medicaid Payments</t>
  </si>
  <si>
    <t>Tobacco program eliminated late 2024</t>
  </si>
  <si>
    <t>41100 NYS Grants</t>
  </si>
  <si>
    <t>Navigator, RHN, Tobacco</t>
  </si>
  <si>
    <t>Transportation - Other: CMH, Greene Cty</t>
  </si>
  <si>
    <t xml:space="preserve">Added Greene Cty HEAPS in Sept 2024 in addition to the continuation of GC Caseworker </t>
  </si>
  <si>
    <t>41300 Local Gov't Grants</t>
  </si>
  <si>
    <t>Greene County Public Health Services</t>
  </si>
  <si>
    <t>Greene County OFA NY Connects</t>
  </si>
  <si>
    <t>Added Greene County OFA NY Connects in April 2025</t>
  </si>
  <si>
    <t>Ny Connects and Sr Transport</t>
  </si>
  <si>
    <r>
      <rPr>
        <sz val="16"/>
        <color rgb="FF000000"/>
        <rFont val="Arial"/>
        <family val="2"/>
      </rPr>
      <t xml:space="preserve">Foundation Revenue - </t>
    </r>
    <r>
      <rPr>
        <sz val="9"/>
        <color rgb="FF000000"/>
        <rFont val="Arial"/>
        <family val="2"/>
      </rPr>
      <t>Mother Cabrini, Dyson, Home For the Aged, HRBT</t>
    </r>
  </si>
  <si>
    <t>FCH Operating Fund Grant ended 12/31/2024</t>
  </si>
  <si>
    <t>41400 Foundation Grants</t>
  </si>
  <si>
    <t>Dyson, FCH: General Ops 2023 GLM1760, FCH Prescription Access $7500, FCH: Sharon Acram Tranport $25000, HRBT Foundation $25000 (2024), Mother Cabrini, The Home for the Aged</t>
  </si>
  <si>
    <t>41500 Individual Donations</t>
  </si>
  <si>
    <t>Donations - Others</t>
  </si>
  <si>
    <t>Significant increase in individual donations in 2025</t>
  </si>
  <si>
    <t>Fundraising Event (Annual Recognition + CARTS)</t>
  </si>
  <si>
    <t>Fundraiser event is planned for the fall</t>
  </si>
  <si>
    <t>41600 Donated use of facilities</t>
  </si>
  <si>
    <t>Additional interest from Live Oak Savings</t>
  </si>
  <si>
    <t>45030 Interest</t>
  </si>
  <si>
    <t>Realized gain of $2,146.00 for this period is net of $1,308.79 management fee</t>
  </si>
  <si>
    <t>45040 Investment Income</t>
  </si>
  <si>
    <t>Miscellaneous Revenue - NYS Interest &amp; Others</t>
  </si>
  <si>
    <t>Increase in CMH CHIPs hours worked</t>
  </si>
  <si>
    <t>46430 Other Income</t>
  </si>
  <si>
    <t>Unrealized Gain (Loss) on Investments</t>
  </si>
  <si>
    <t>91000 Unrealized Gain (loss)</t>
  </si>
  <si>
    <t>Assets Released from Restrictions</t>
  </si>
  <si>
    <t>For 2024 yr, additional subcontractors Coenen and Rightmyer</t>
  </si>
  <si>
    <t>Decrease in prescription and financial assistance due to client need</t>
  </si>
  <si>
    <t>Decrease in internet access and telephone charges for 2025</t>
  </si>
  <si>
    <t>Tobacco advertising campaign in 2024</t>
  </si>
  <si>
    <t>Increase in vehicle fuel due to more rides in this period; increase in auto insurance</t>
  </si>
  <si>
    <t>Increase in driver training required by NY State Medicaid</t>
  </si>
  <si>
    <t xml:space="preserve">Year-over-year increase in insurance expense </t>
  </si>
  <si>
    <t>Interest Expense</t>
  </si>
  <si>
    <t>Changes in With Donor Restrictions - Net Assets</t>
  </si>
  <si>
    <t>Contributions:</t>
  </si>
  <si>
    <t>Columbia County Government</t>
  </si>
  <si>
    <t>41950 Rev Released from restriction</t>
  </si>
  <si>
    <t>Columbia County Treasurer BOS</t>
  </si>
  <si>
    <r>
      <t xml:space="preserve">Columbia County Departments </t>
    </r>
    <r>
      <rPr>
        <sz val="10"/>
        <color rgb="FF000000"/>
        <rFont val="Arial"/>
        <family val="2"/>
      </rPr>
      <t>(C.A.R.T.S)</t>
    </r>
  </si>
  <si>
    <t>Columbia County Transportation (CARTS)</t>
  </si>
  <si>
    <t>Foundations</t>
  </si>
  <si>
    <t>Financial Assistant Funds</t>
  </si>
  <si>
    <t xml:space="preserve">Change in With Donor Restrictions </t>
  </si>
  <si>
    <t>Change in Net Assets</t>
  </si>
  <si>
    <t>Net Assets, Beginning of Period</t>
  </si>
  <si>
    <t>Net Assets, End of Period</t>
  </si>
  <si>
    <t>Statement of Activities-Fundraising Event of September 21, 2023</t>
  </si>
  <si>
    <t>Revenue</t>
  </si>
  <si>
    <t>Sponsorships (committed)</t>
  </si>
  <si>
    <t>Ticket Sales</t>
  </si>
  <si>
    <t>Total Revenue from Fundraiser</t>
  </si>
  <si>
    <t>Supplies</t>
  </si>
  <si>
    <t>Facility rental</t>
  </si>
  <si>
    <t>Catering</t>
  </si>
  <si>
    <t>Paypal processing fees</t>
  </si>
  <si>
    <t>Contract Professional - Sydney Keiler</t>
  </si>
  <si>
    <t>Income from Fundraiser Event</t>
  </si>
  <si>
    <t>Period ending June 30, 2024 &amp; December 31, 2024</t>
  </si>
  <si>
    <t>FCH Reporting</t>
  </si>
  <si>
    <t>August '25 vs.'24</t>
  </si>
  <si>
    <t>1/1/2024 - 6/30/2024</t>
  </si>
  <si>
    <t>7/1/2024 - 12/31/2024</t>
  </si>
  <si>
    <t>2024 YE</t>
  </si>
  <si>
    <t>Increase in Medicaid rids</t>
  </si>
  <si>
    <t>Allocated less to Transportation in 2025 than 2024</t>
  </si>
  <si>
    <t>We expensed more NYSRAH money in year of grant issuance</t>
  </si>
  <si>
    <t>Grants - New York State DOT 5310</t>
  </si>
  <si>
    <t>OFA Senior Transportation</t>
  </si>
  <si>
    <t>Variance is due to 2025 Q3 not yet invoiced</t>
  </si>
  <si>
    <t>Fundraising Event</t>
  </si>
  <si>
    <t>Increase in individual / institution donations</t>
  </si>
  <si>
    <t>GP added on 01-27-2024</t>
  </si>
  <si>
    <t>Foundation Revenue-FCH-Sharon/Ancram/Copake</t>
  </si>
  <si>
    <t>Foundation Revenue-Dyson Foundation</t>
  </si>
  <si>
    <t>Foundation Revenue-The Home for the Aged</t>
  </si>
  <si>
    <t xml:space="preserve">We didn't receive 2025 grant until June </t>
  </si>
  <si>
    <t xml:space="preserve">Foundation Revenue-Mother Cabrini </t>
  </si>
  <si>
    <t>Foundation Revenue-Hudson River Bank &amp; Trust</t>
  </si>
  <si>
    <t>n/a</t>
  </si>
  <si>
    <t>First $25K HRBT grant was received in Sep'25; second in Jun'25</t>
  </si>
  <si>
    <t>Greene County - Dept Human Services</t>
  </si>
  <si>
    <t>Gain (Loss) on Sale of Vehicle</t>
  </si>
  <si>
    <t>Reduction is due to decrease in 2025 commitment of $17.5k down from $21k</t>
  </si>
  <si>
    <t>Allocated more of CC appropriation budget to CARTs</t>
  </si>
  <si>
    <t>Transportation Coordinators &amp;  Support</t>
  </si>
  <si>
    <t>Vehicle Fuel</t>
  </si>
  <si>
    <t>Increase is due to switch from desktop to cloud software</t>
  </si>
  <si>
    <t>Transportation Billing Software-MedBatch</t>
  </si>
  <si>
    <t>Incresae due to switch from Kinetik to MedBatch</t>
  </si>
  <si>
    <t>Cost of insurance is increasing</t>
  </si>
  <si>
    <t>Change in Unrestricted Assets</t>
  </si>
  <si>
    <t>rent</t>
  </si>
  <si>
    <t>Transp cost</t>
  </si>
  <si>
    <t>Less: NYS DOT 5310</t>
  </si>
  <si>
    <t>Less: Lease Payments</t>
  </si>
  <si>
    <t>Average Miles per Ride</t>
  </si>
  <si>
    <t>Direct Expense</t>
  </si>
  <si>
    <t>Indirect Expense</t>
  </si>
  <si>
    <t>Cost per mile - Direct Expense</t>
  </si>
  <si>
    <t>Cost per mile - Indirect Expense</t>
  </si>
  <si>
    <t>Number of unique Riders YTD</t>
  </si>
  <si>
    <t>Budget vs Actual</t>
  </si>
  <si>
    <t>Twelve Months Ended December 31, 2024</t>
  </si>
  <si>
    <t>2024 Budget, Original</t>
  </si>
  <si>
    <t>2024 Budget, Revised Sep'24</t>
  </si>
  <si>
    <t xml:space="preserve">2024 Actual </t>
  </si>
  <si>
    <t>Revised Vs Actual</t>
  </si>
  <si>
    <t>Foundation Revenue - FCH, Dyson, Mother Cabrini</t>
  </si>
  <si>
    <t>2025 CARTS BUDGET</t>
  </si>
  <si>
    <t>December '24 vs.'23</t>
  </si>
  <si>
    <t xml:space="preserve">2025 Budget </t>
  </si>
  <si>
    <t>Foundation Revenue-RipVan Winkle Foundation</t>
  </si>
  <si>
    <t>Transportation Billing Software-Kinetik</t>
  </si>
  <si>
    <t>Updated Budget-Transportation</t>
  </si>
  <si>
    <t>For the Years Ended December 31, 2023</t>
  </si>
  <si>
    <t>Updated 2023 Transportation Budget</t>
  </si>
  <si>
    <t>Actual Expenses</t>
  </si>
  <si>
    <t>Projected Expenses</t>
  </si>
  <si>
    <t>Updated Budget</t>
  </si>
  <si>
    <t>Six Months</t>
  </si>
  <si>
    <t>Twelve Months</t>
  </si>
  <si>
    <t>Orginial Budget</t>
  </si>
  <si>
    <t>Jan - June 2023</t>
  </si>
  <si>
    <t>July - Dec 2023</t>
  </si>
  <si>
    <t>Jan - Dec 2023</t>
  </si>
  <si>
    <t>Fund Raising Event-Net</t>
  </si>
  <si>
    <t>Foundation Revenue-Triskeles Foundation</t>
  </si>
  <si>
    <t>Orginial Assumptions</t>
  </si>
  <si>
    <t>Transportation Software Leases</t>
  </si>
  <si>
    <t>December'19 vs. '18</t>
  </si>
  <si>
    <t>Circulation</t>
  </si>
  <si>
    <t>Depreciation-Vehicles</t>
  </si>
  <si>
    <t>Add Back Deprecation</t>
  </si>
  <si>
    <t>Projections for the Years Ending December 31, 2019 and 2020</t>
  </si>
  <si>
    <t>2019 vs. 2020</t>
  </si>
  <si>
    <t>Foundation Revenue-Foundation for Community Health</t>
  </si>
  <si>
    <t>Gain (Loss) on Sale of Vehicle- Ford Focus</t>
  </si>
  <si>
    <t>Misc. Revenue</t>
  </si>
  <si>
    <t>Organizational Budget</t>
  </si>
  <si>
    <t>For the Year Ended December 31, 2019</t>
  </si>
  <si>
    <t>Grants - Federal (5310 Funding)</t>
  </si>
  <si>
    <t>Foundation Revenue - FCH &amp; Dyson</t>
  </si>
  <si>
    <t>The Research Foundation - SUNY (Women's Project)</t>
  </si>
  <si>
    <t>Medicaid Revenue -Transportation</t>
  </si>
  <si>
    <t>Weekly Medicaid Claim Revenue</t>
  </si>
  <si>
    <t>Week</t>
  </si>
  <si>
    <t>2012 Medicaid</t>
  </si>
  <si>
    <t>2013 Medicaid</t>
  </si>
  <si>
    <t>2014 Medicaid</t>
  </si>
  <si>
    <t>2015 Medicaid</t>
  </si>
  <si>
    <t>2016 Medicaid</t>
  </si>
  <si>
    <t>2017 Medicaid</t>
  </si>
  <si>
    <t xml:space="preserve">Wkly Medicaid </t>
  </si>
  <si>
    <t>Wkly Claims</t>
  </si>
  <si>
    <t>Variance ('17 vs.'16)</t>
  </si>
  <si>
    <t>1st Quarter Total</t>
  </si>
  <si>
    <t>2nd Quarter Total</t>
  </si>
  <si>
    <t>3rd Quarter Total</t>
  </si>
  <si>
    <t>4th Quarter Total</t>
  </si>
  <si>
    <t>YTD Totals</t>
  </si>
  <si>
    <t>Wkly Avg 1st Quarter</t>
  </si>
  <si>
    <t>Wkly Avg 2nd Quarter</t>
  </si>
  <si>
    <t>Wkly Avg 3rd Quarter</t>
  </si>
  <si>
    <t>Wkly Avg 4th Quarter</t>
  </si>
  <si>
    <t>Ten Months Ended October 31, 2016 and 2015</t>
  </si>
  <si>
    <t>Twelve Months Ended December 31, 2017</t>
  </si>
  <si>
    <t>Grants - Federal (HRI)</t>
  </si>
  <si>
    <t>Gain on Sale of Vehicles</t>
  </si>
  <si>
    <t>CSP Patient Services - NYS &amp; Federal</t>
  </si>
  <si>
    <t>Bank Fees</t>
  </si>
  <si>
    <t>Current Assets:</t>
  </si>
  <si>
    <t>Cash and Cash Equivalents</t>
  </si>
  <si>
    <t>Investments</t>
  </si>
  <si>
    <t>Prepaid Expenses</t>
  </si>
  <si>
    <t>Property and Equipment, Net of Accumulated Depreciation</t>
  </si>
  <si>
    <t>Current Liabilities:</t>
  </si>
  <si>
    <t>Accrued Wages and Benefits Payable</t>
  </si>
  <si>
    <t>Accrued Expenses</t>
  </si>
  <si>
    <t>Other Liability</t>
  </si>
  <si>
    <t>Net Assets:</t>
  </si>
  <si>
    <t xml:space="preserve">Temporarily Restricted </t>
  </si>
  <si>
    <t>Unrestricted Net Assets</t>
  </si>
  <si>
    <t>Total Grant Receivable - August 31, 2025</t>
  </si>
  <si>
    <t>As of August 31, 2025</t>
  </si>
  <si>
    <t xml:space="preserve">Greene County </t>
  </si>
  <si>
    <t>Columbia County Department of Health</t>
  </si>
  <si>
    <t>We replaced the transmission on 2 vechicles</t>
  </si>
  <si>
    <r>
      <t>è</t>
    </r>
    <r>
      <rPr>
        <b/>
        <sz val="12"/>
        <color rgb="FF000000"/>
        <rFont val="Times New Roman"/>
        <family val="1"/>
      </rPr>
      <t xml:space="preserve"> Cash</t>
    </r>
    <r>
      <rPr>
        <sz val="12"/>
        <color rgb="FF000000"/>
        <rFont val="Calibri"/>
        <family val="2"/>
      </rPr>
      <t xml:space="preserve"> -  The sum of cash balances in the agency's checking and savings accounts started the 2025 year off with $580K and ended in the month of August with $454K. The low cash balance on July 21, 2025 was $355 and the high cash balance on April 1, 2025, was $608K. The average daily balance for 2025 is $477K and for 2024 it was $504K.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</si>
</sst>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409]mmmm\ d\,\ yyyy;@"/>
    <numFmt numFmtId="166" formatCode="[$-409]mmmm\-yy;@"/>
    <numFmt numFmtId="167" formatCode="[$-F800]dddd\,\ mmmm\ dd\,\ yyyy"/>
    <numFmt numFmtId="168" formatCode="_(&quot;$&quot;* #,##0_);_(&quot;$&quot;* \(#,##0\);_(&quot;$&quot;* &quot;-&quot;??_);_(@_)"/>
    <numFmt numFmtId="169" formatCode="&quot;$&quot;#,##0"/>
    <numFmt numFmtId="170" formatCode="#,##0.0"/>
    <numFmt numFmtId="171" formatCode="#,##0.0_);\(#,##0.0\)"/>
    <numFmt numFmtId="172" formatCode="#,##0.00;\-#,##0.00"/>
    <numFmt numFmtId="173" formatCode="_(* #,##0_);_(* \(#,##0\);_(* &quot;-&quot;??_);_(@_)"/>
    <numFmt numFmtId="174" formatCode="_(* #,##0.00_);_(* \(#,##0.00\);_(* &quot;-&quot;_);_(@_)"/>
    <numFmt numFmtId="175" formatCode="mm/dd/yyyy"/>
    <numFmt numFmtId="176" formatCode="mm/dd/yyyy\ hh:mm:ss\ \a"/>
    <numFmt numFmtId="177" formatCode="[$-409]dd\-mmm\-yy;@"/>
  </numFmts>
  <fonts count="93"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sz val="14"/>
      <color theme="1"/>
      <name val="Arial"/>
      <family val="2"/>
    </font>
    <font>
      <b/>
      <sz val="12"/>
      <color theme="1"/>
      <name val="Arial"/>
      <family val="2"/>
    </font>
    <font>
      <sz val="12"/>
      <color theme="1"/>
      <name val="Arial"/>
      <family val="2"/>
    </font>
    <font>
      <b/>
      <sz val="8"/>
      <color rgb="FF000000"/>
      <name val="Arial"/>
      <family val="2"/>
    </font>
    <font>
      <b/>
      <sz val="20"/>
      <color theme="1"/>
      <name val="Calibri"/>
      <family val="2"/>
      <scheme val="minor"/>
    </font>
    <font>
      <sz val="16"/>
      <color theme="1"/>
      <name val="Calibri"/>
      <family val="2"/>
      <scheme val="minor"/>
    </font>
    <font>
      <b/>
      <sz val="16"/>
      <color rgb="FF000000"/>
      <name val="Arial"/>
      <family val="2"/>
    </font>
    <font>
      <b/>
      <sz val="20"/>
      <color rgb="FF000000"/>
      <name val="Arial"/>
      <family val="2"/>
    </font>
    <font>
      <sz val="20"/>
      <color rgb="FF000000"/>
      <name val="Arial"/>
      <family val="2"/>
    </font>
    <font>
      <sz val="20"/>
      <color theme="1"/>
      <name val="Arial"/>
      <family val="2"/>
    </font>
    <font>
      <sz val="16"/>
      <color rgb="FF000000"/>
      <name val="Arial"/>
      <family val="2"/>
    </font>
    <font>
      <b/>
      <sz val="18"/>
      <color rgb="FF000000"/>
      <name val="Arial"/>
      <family val="2"/>
    </font>
    <font>
      <b/>
      <sz val="12"/>
      <color rgb="FF000000"/>
      <name val="Arial"/>
      <family val="2"/>
    </font>
    <font>
      <b/>
      <sz val="14"/>
      <color rgb="FF000000"/>
      <name val="Arial"/>
      <family val="2"/>
    </font>
    <font>
      <sz val="14"/>
      <color rgb="FF000000"/>
      <name val="Arial"/>
      <family val="2"/>
    </font>
    <font>
      <b/>
      <sz val="11"/>
      <color rgb="FF000000"/>
      <name val="Arial"/>
      <family val="2"/>
    </font>
    <font>
      <b/>
      <sz val="11"/>
      <color theme="1"/>
      <name val="Calibri"/>
      <family val="2"/>
      <scheme val="minor"/>
    </font>
    <font>
      <sz val="10"/>
      <color rgb="FF000000"/>
      <name val="Arial"/>
      <family val="2"/>
    </font>
    <font>
      <sz val="16"/>
      <color theme="1"/>
      <name val="Arial"/>
      <family val="2"/>
    </font>
    <font>
      <sz val="11"/>
      <color rgb="FF000000"/>
      <name val="Arial"/>
      <family val="2"/>
    </font>
    <font>
      <sz val="15"/>
      <color rgb="FF000000"/>
      <name val="Arial"/>
      <family val="2"/>
    </font>
    <font>
      <sz val="9"/>
      <color theme="1"/>
      <name val="Arial"/>
      <family val="2"/>
    </font>
    <font>
      <b/>
      <u/>
      <sz val="12"/>
      <color rgb="FF000000"/>
      <name val="Arial"/>
      <family val="2"/>
    </font>
    <font>
      <b/>
      <sz val="9"/>
      <color rgb="FF000000"/>
      <name val="Arial"/>
      <family val="2"/>
    </font>
    <font>
      <sz val="11"/>
      <name val="Arial"/>
      <family val="2"/>
    </font>
    <font>
      <sz val="9"/>
      <color rgb="FF000000"/>
      <name val="Arial"/>
      <family val="2"/>
    </font>
    <font>
      <b/>
      <sz val="12"/>
      <color theme="1"/>
      <name val="Calibri"/>
      <family val="2"/>
      <scheme val="minor"/>
    </font>
    <font>
      <b/>
      <sz val="18"/>
      <color theme="1"/>
      <name val="Calibri"/>
      <family val="2"/>
    </font>
    <font>
      <sz val="12"/>
      <color theme="1"/>
      <name val="Wingdings"/>
      <charset val="2"/>
    </font>
    <font>
      <sz val="12"/>
      <color theme="1"/>
      <name val="Times New Roman"/>
      <family val="1"/>
    </font>
    <font>
      <sz val="12"/>
      <color theme="1"/>
      <name val="Calibri"/>
      <family val="2"/>
    </font>
    <font>
      <b/>
      <sz val="12"/>
      <color theme="1"/>
      <name val="Calibri"/>
      <family val="2"/>
    </font>
    <font>
      <b/>
      <sz val="12"/>
      <color theme="1"/>
      <name val="Times New Roman"/>
      <family val="1"/>
    </font>
    <font>
      <sz val="9"/>
      <color indexed="81"/>
      <name val="Tahoma"/>
      <family val="2"/>
    </font>
    <font>
      <b/>
      <sz val="9"/>
      <color indexed="81"/>
      <name val="Tahoma"/>
      <family val="2"/>
    </font>
    <font>
      <sz val="12"/>
      <color theme="1"/>
      <name val="Wide Latin"/>
      <family val="1"/>
    </font>
    <font>
      <sz val="12"/>
      <color rgb="FFFF0000"/>
      <name val="Arial"/>
      <family val="2"/>
    </font>
    <font>
      <sz val="12"/>
      <name val="Arial"/>
      <family val="2"/>
    </font>
    <font>
      <b/>
      <sz val="10"/>
      <color rgb="FF000000"/>
      <name val="Arial"/>
      <family val="2"/>
    </font>
    <font>
      <sz val="12"/>
      <color theme="1"/>
      <name val="Calibri"/>
      <family val="2"/>
      <scheme val="minor"/>
    </font>
    <font>
      <sz val="11"/>
      <color theme="1"/>
      <name val="Times New Roman"/>
      <family val="1"/>
    </font>
    <font>
      <sz val="9"/>
      <color theme="1"/>
      <name val="Times New Roman"/>
      <family val="1"/>
    </font>
    <font>
      <sz val="11"/>
      <color theme="1"/>
      <name val="Wingdings"/>
      <charset val="2"/>
    </font>
    <font>
      <sz val="8"/>
      <color theme="1"/>
      <name val="Arial"/>
      <family val="2"/>
    </font>
    <font>
      <sz val="8"/>
      <color rgb="FF000000"/>
      <name val="Arial"/>
      <family val="2"/>
    </font>
    <font>
      <sz val="16"/>
      <color rgb="FFFF0000"/>
      <name val="Arial"/>
      <family val="2"/>
    </font>
    <font>
      <sz val="16"/>
      <name val="Arial"/>
      <family val="2"/>
    </font>
    <font>
      <sz val="10"/>
      <color theme="1"/>
      <name val="Calibri"/>
      <family val="2"/>
      <scheme val="minor"/>
    </font>
    <font>
      <sz val="12"/>
      <color rgb="FF000000"/>
      <name val="Arial"/>
      <family val="2"/>
    </font>
    <font>
      <sz val="14"/>
      <color theme="1"/>
      <name val="Calibri"/>
      <family val="2"/>
      <scheme val="minor"/>
    </font>
    <font>
      <sz val="10"/>
      <color theme="1"/>
      <name val="Arial"/>
      <family val="2"/>
    </font>
    <font>
      <sz val="12"/>
      <color rgb="FF000000"/>
      <name val="Calibri"/>
      <family val="2"/>
      <scheme val="minor"/>
    </font>
    <font>
      <sz val="10"/>
      <color theme="1"/>
      <name val="Times New Roman"/>
      <family val="1"/>
    </font>
    <font>
      <b/>
      <sz val="16"/>
      <color theme="1"/>
      <name val="Calibri"/>
      <family val="2"/>
      <scheme val="minor"/>
    </font>
    <font>
      <b/>
      <sz val="10"/>
      <color theme="1"/>
      <name val="Calibri"/>
      <family val="2"/>
      <scheme val="minor"/>
    </font>
    <font>
      <b/>
      <sz val="14"/>
      <color theme="1"/>
      <name val="Calibri"/>
      <family val="2"/>
      <scheme val="minor"/>
    </font>
    <font>
      <b/>
      <sz val="10"/>
      <color theme="1"/>
      <name val="Arial"/>
      <family val="2"/>
    </font>
    <font>
      <b/>
      <sz val="11"/>
      <color rgb="FFFF0000"/>
      <name val="Arial"/>
      <family val="2"/>
    </font>
    <font>
      <b/>
      <sz val="14"/>
      <name val="Arial"/>
      <family val="2"/>
    </font>
    <font>
      <sz val="10"/>
      <name val="Arial"/>
      <family val="2"/>
    </font>
    <font>
      <b/>
      <sz val="16"/>
      <color rgb="FFFF0000"/>
      <name val="Arial"/>
      <family val="2"/>
    </font>
    <font>
      <b/>
      <sz val="16"/>
      <color theme="1"/>
      <name val="Arial"/>
      <family val="2"/>
    </font>
    <font>
      <sz val="15"/>
      <color theme="1"/>
      <name val="Arial"/>
      <family val="2"/>
    </font>
    <font>
      <sz val="14"/>
      <name val="Arial"/>
      <family val="2"/>
    </font>
    <font>
      <b/>
      <sz val="15"/>
      <color rgb="FF000000"/>
      <name val="Arial"/>
      <family val="2"/>
    </font>
    <font>
      <b/>
      <sz val="8"/>
      <color theme="1"/>
      <name val="Arial"/>
      <family val="2"/>
    </font>
    <font>
      <sz val="11"/>
      <color theme="0" tint="-0.14999847407452621"/>
      <name val="Arial"/>
      <family val="2"/>
    </font>
    <font>
      <b/>
      <u/>
      <sz val="16"/>
      <color rgb="FF000000"/>
      <name val="Arial"/>
      <family val="2"/>
    </font>
    <font>
      <b/>
      <sz val="10"/>
      <color rgb="FFFF0000"/>
      <name val="Arial"/>
      <family val="2"/>
    </font>
    <font>
      <sz val="12"/>
      <color rgb="FF000000"/>
      <name val="Wingdings"/>
      <charset val="2"/>
    </font>
    <font>
      <b/>
      <sz val="12"/>
      <color rgb="FF000000"/>
      <name val="Times New Roman"/>
      <family val="1"/>
    </font>
    <font>
      <sz val="12"/>
      <color rgb="FF000000"/>
      <name val="Calibri"/>
      <family val="2"/>
    </font>
    <font>
      <sz val="12"/>
      <color rgb="FF000000"/>
      <name val="Wingdings"/>
      <charset val="2"/>
    </font>
    <font>
      <sz val="12"/>
      <color rgb="FF000000"/>
      <name val="Times New Roman"/>
      <family val="1"/>
    </font>
    <font>
      <b/>
      <sz val="12"/>
      <color rgb="FF000000"/>
      <name val="Calibri"/>
      <family val="2"/>
    </font>
    <font>
      <sz val="14"/>
      <color theme="1"/>
      <name val="Wingdings"/>
      <charset val="2"/>
    </font>
    <font>
      <b/>
      <sz val="14"/>
      <color theme="1"/>
      <name val="Times New Roman"/>
      <family val="1"/>
    </font>
    <font>
      <sz val="14"/>
      <color theme="1"/>
      <name val="Times New Roman"/>
      <family val="1"/>
    </font>
    <font>
      <sz val="14"/>
      <color theme="1"/>
      <name val="Calibri"/>
      <family val="2"/>
    </font>
    <font>
      <sz val="14"/>
      <color theme="0" tint="-0.14999847407452621"/>
      <name val="Arial"/>
      <family val="2"/>
    </font>
    <font>
      <sz val="20"/>
      <color theme="0" tint="-0.14999847407452621"/>
      <name val="Arial"/>
      <family val="2"/>
    </font>
    <font>
      <sz val="16"/>
      <color rgb="FF000000"/>
      <name val="Arial"/>
      <family val="2"/>
    </font>
    <font>
      <b/>
      <sz val="16"/>
      <color theme="0" tint="-4.9989318521683403E-2"/>
      <name val="Arial"/>
      <family val="2"/>
    </font>
    <font>
      <sz val="9"/>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81FFBA"/>
        <bgColor indexed="64"/>
      </patternFill>
    </fill>
    <fill>
      <patternFill patternType="solid">
        <fgColor rgb="FFFFC000"/>
        <bgColor indexed="64"/>
      </patternFill>
    </fill>
    <fill>
      <patternFill patternType="solid">
        <fgColor theme="6" tint="0.39997558519241921"/>
        <bgColor indexed="64"/>
      </patternFill>
    </fill>
    <fill>
      <patternFill patternType="solid">
        <fgColor rgb="FFEDB323"/>
        <bgColor indexed="64"/>
      </patternFill>
    </fill>
    <fill>
      <patternFill patternType="solid">
        <fgColor theme="2"/>
        <bgColor indexed="64"/>
      </patternFill>
    </fill>
    <fill>
      <patternFill patternType="solid">
        <fgColor theme="9" tint="0.59999389629810485"/>
        <bgColor indexed="64"/>
      </patternFill>
    </fill>
  </fills>
  <borders count="75">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diagonal/>
    </border>
    <border>
      <left/>
      <right/>
      <top style="double">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rgb="FF000000"/>
      </bottom>
      <diagonal/>
    </border>
    <border>
      <left style="medium">
        <color rgb="FF000000"/>
      </left>
      <right/>
      <top/>
      <bottom/>
      <diagonal/>
    </border>
    <border>
      <left/>
      <right/>
      <top style="thin">
        <color rgb="FF000000"/>
      </top>
      <bottom style="double">
        <color rgb="FF000000"/>
      </bottom>
      <diagonal/>
    </border>
  </borders>
  <cellStyleXfs count="12">
    <xf numFmtId="0" fontId="0"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6" fillId="0" borderId="0" applyFont="0" applyFill="0" applyBorder="0" applyAlignment="0" applyProtection="0"/>
    <xf numFmtId="0" fontId="4" fillId="0" borderId="0"/>
    <xf numFmtId="0" fontId="68" fillId="0" borderId="0"/>
    <xf numFmtId="43" fontId="6" fillId="0" borderId="0" applyFont="0" applyFill="0" applyBorder="0" applyAlignment="0" applyProtection="0"/>
    <xf numFmtId="0" fontId="48" fillId="0" borderId="0"/>
    <xf numFmtId="0" fontId="35" fillId="0" borderId="2"/>
    <xf numFmtId="0" fontId="35" fillId="0" borderId="0"/>
    <xf numFmtId="0" fontId="35" fillId="0" borderId="3"/>
  </cellStyleXfs>
  <cellXfs count="894">
    <xf numFmtId="0" fontId="0" fillId="0" borderId="0" xfId="0"/>
    <xf numFmtId="0" fontId="0" fillId="0" borderId="2" xfId="0" applyBorder="1"/>
    <xf numFmtId="0" fontId="0" fillId="2" borderId="0" xfId="0" applyFill="1"/>
    <xf numFmtId="0" fontId="0" fillId="0" borderId="0" xfId="0" applyAlignment="1">
      <alignment horizontal="center"/>
    </xf>
    <xf numFmtId="14" fontId="0" fillId="0" borderId="0" xfId="0" applyNumberFormat="1" applyAlignment="1">
      <alignment horizontal="center"/>
    </xf>
    <xf numFmtId="4" fontId="0" fillId="0" borderId="0" xfId="0" applyNumberFormat="1"/>
    <xf numFmtId="0" fontId="8" fillId="0" borderId="0" xfId="0" applyFont="1"/>
    <xf numFmtId="0" fontId="9" fillId="0" borderId="0" xfId="0" applyFont="1" applyAlignment="1">
      <alignment horizontal="center"/>
    </xf>
    <xf numFmtId="0" fontId="9" fillId="0" borderId="0" xfId="0" applyFont="1"/>
    <xf numFmtId="14" fontId="8" fillId="0" borderId="0" xfId="0" applyNumberFormat="1" applyFont="1" applyAlignment="1">
      <alignment horizontal="left"/>
    </xf>
    <xf numFmtId="0" fontId="10" fillId="3" borderId="3" xfId="0" applyFont="1" applyFill="1" applyBorder="1"/>
    <xf numFmtId="44" fontId="0" fillId="0" borderId="0" xfId="1" applyFont="1" applyFill="1" applyBorder="1" applyAlignment="1">
      <alignment horizontal="center"/>
    </xf>
    <xf numFmtId="0" fontId="0" fillId="3" borderId="0" xfId="0" applyFill="1" applyAlignment="1">
      <alignment horizontal="center"/>
    </xf>
    <xf numFmtId="0" fontId="8" fillId="4" borderId="6" xfId="0" applyFont="1" applyFill="1" applyBorder="1"/>
    <xf numFmtId="0" fontId="0" fillId="4" borderId="6" xfId="0" applyFill="1" applyBorder="1"/>
    <xf numFmtId="0" fontId="0" fillId="3" borderId="2" xfId="0" applyFill="1" applyBorder="1" applyAlignment="1">
      <alignment horizontal="center"/>
    </xf>
    <xf numFmtId="0" fontId="11" fillId="4" borderId="0" xfId="0" applyFont="1" applyFill="1"/>
    <xf numFmtId="0" fontId="0" fillId="0" borderId="12" xfId="0" applyBorder="1"/>
    <xf numFmtId="40" fontId="9" fillId="0" borderId="0" xfId="0" applyNumberFormat="1" applyFont="1"/>
    <xf numFmtId="40" fontId="0" fillId="0" borderId="0" xfId="0" applyNumberFormat="1"/>
    <xf numFmtId="40" fontId="11" fillId="0" borderId="0" xfId="0" applyNumberFormat="1" applyFont="1"/>
    <xf numFmtId="0" fontId="10" fillId="0" borderId="0" xfId="0" applyFont="1"/>
    <xf numFmtId="0" fontId="0" fillId="0" borderId="11" xfId="0" applyBorder="1"/>
    <xf numFmtId="4" fontId="0" fillId="0" borderId="0" xfId="0" applyNumberFormat="1" applyAlignment="1">
      <alignment horizontal="left"/>
    </xf>
    <xf numFmtId="40" fontId="7" fillId="0" borderId="0" xfId="0" applyNumberFormat="1" applyFont="1" applyAlignment="1">
      <alignment horizontal="center" vertical="center" wrapText="1"/>
    </xf>
    <xf numFmtId="40" fontId="0" fillId="0" borderId="0" xfId="1" applyNumberFormat="1" applyFont="1" applyFill="1" applyBorder="1" applyAlignment="1"/>
    <xf numFmtId="0" fontId="0" fillId="4" borderId="11" xfId="0" applyFill="1" applyBorder="1"/>
    <xf numFmtId="0" fontId="10" fillId="3" borderId="0" xfId="0" applyFont="1" applyFill="1"/>
    <xf numFmtId="0" fontId="10" fillId="3" borderId="5" xfId="0" applyFont="1" applyFill="1" applyBorder="1"/>
    <xf numFmtId="0" fontId="10" fillId="4" borderId="13" xfId="0" applyFont="1" applyFill="1" applyBorder="1"/>
    <xf numFmtId="0" fontId="10" fillId="4" borderId="14" xfId="0" applyFont="1" applyFill="1" applyBorder="1"/>
    <xf numFmtId="0" fontId="10" fillId="3" borderId="16" xfId="0" applyFont="1" applyFill="1" applyBorder="1"/>
    <xf numFmtId="49" fontId="12" fillId="0" borderId="0" xfId="0" applyNumberFormat="1" applyFont="1" applyAlignment="1">
      <alignment horizontal="center"/>
    </xf>
    <xf numFmtId="0" fontId="12" fillId="0" borderId="0" xfId="0" applyFont="1"/>
    <xf numFmtId="0" fontId="13" fillId="0" borderId="0" xfId="0" applyFont="1"/>
    <xf numFmtId="0" fontId="14" fillId="0" borderId="0" xfId="0" applyFont="1"/>
    <xf numFmtId="0" fontId="14" fillId="0" borderId="0" xfId="0" applyFont="1" applyAlignment="1">
      <alignment horizontal="center"/>
    </xf>
    <xf numFmtId="49" fontId="15" fillId="0" borderId="0" xfId="0" applyNumberFormat="1" applyFont="1" applyAlignment="1">
      <alignment horizontal="center" vertical="center"/>
    </xf>
    <xf numFmtId="0" fontId="0" fillId="0" borderId="0" xfId="0" applyAlignment="1">
      <alignment horizontal="center" vertical="center"/>
    </xf>
    <xf numFmtId="49" fontId="16" fillId="0" borderId="30" xfId="0" applyNumberFormat="1" applyFont="1" applyBorder="1" applyAlignment="1">
      <alignment vertical="center"/>
    </xf>
    <xf numFmtId="0" fontId="18" fillId="0" borderId="0" xfId="0" applyFont="1" applyAlignment="1">
      <alignment vertical="center"/>
    </xf>
    <xf numFmtId="0" fontId="18" fillId="0" borderId="30" xfId="0" applyFont="1" applyBorder="1" applyAlignment="1">
      <alignment vertical="center"/>
    </xf>
    <xf numFmtId="49" fontId="15" fillId="0" borderId="0" xfId="0" applyNumberFormat="1" applyFont="1" applyAlignment="1">
      <alignment vertical="center"/>
    </xf>
    <xf numFmtId="0" fontId="0" fillId="0" borderId="0" xfId="0" applyAlignment="1">
      <alignment vertical="center"/>
    </xf>
    <xf numFmtId="49" fontId="15" fillId="0" borderId="0" xfId="0" applyNumberFormat="1" applyFont="1"/>
    <xf numFmtId="49" fontId="15" fillId="0" borderId="2" xfId="0" applyNumberFormat="1" applyFont="1" applyBorder="1"/>
    <xf numFmtId="49" fontId="19" fillId="0" borderId="0" xfId="0" applyNumberFormat="1" applyFont="1" applyAlignment="1">
      <alignment vertical="center"/>
    </xf>
    <xf numFmtId="49" fontId="19" fillId="0" borderId="2" xfId="0" applyNumberFormat="1" applyFont="1" applyBorder="1" applyAlignment="1">
      <alignment vertical="center"/>
    </xf>
    <xf numFmtId="49" fontId="15" fillId="0" borderId="3" xfId="0" applyNumberFormat="1" applyFont="1" applyBorder="1" applyAlignment="1">
      <alignment vertical="center"/>
    </xf>
    <xf numFmtId="49" fontId="16" fillId="0" borderId="31" xfId="0" applyNumberFormat="1" applyFont="1" applyBorder="1" applyAlignment="1">
      <alignment vertical="center"/>
    </xf>
    <xf numFmtId="0" fontId="16" fillId="0" borderId="0" xfId="0" applyFont="1" applyAlignment="1">
      <alignment vertical="center"/>
    </xf>
    <xf numFmtId="0" fontId="16" fillId="0" borderId="30" xfId="0" applyFont="1" applyBorder="1" applyAlignment="1">
      <alignment vertical="center"/>
    </xf>
    <xf numFmtId="0" fontId="12" fillId="0" borderId="0" xfId="0" applyFont="1" applyAlignment="1">
      <alignment vertical="center"/>
    </xf>
    <xf numFmtId="49" fontId="20" fillId="0" borderId="27" xfId="0" applyNumberFormat="1" applyFont="1" applyBorder="1" applyAlignment="1">
      <alignment vertical="center"/>
    </xf>
    <xf numFmtId="49" fontId="15" fillId="0" borderId="27" xfId="0" applyNumberFormat="1" applyFont="1" applyBorder="1" applyAlignment="1">
      <alignment vertical="center"/>
    </xf>
    <xf numFmtId="49" fontId="15" fillId="0" borderId="2" xfId="0" applyNumberFormat="1" applyFont="1" applyBorder="1" applyAlignment="1">
      <alignment vertical="center"/>
    </xf>
    <xf numFmtId="49" fontId="20" fillId="0" borderId="28" xfId="0" applyNumberFormat="1" applyFont="1" applyBorder="1" applyAlignment="1">
      <alignment vertical="center"/>
    </xf>
    <xf numFmtId="49" fontId="15" fillId="0" borderId="28" xfId="0" applyNumberFormat="1" applyFont="1" applyBorder="1" applyAlignment="1">
      <alignment vertical="center"/>
    </xf>
    <xf numFmtId="49" fontId="21" fillId="0" borderId="0" xfId="0" applyNumberFormat="1" applyFont="1" applyAlignment="1">
      <alignment horizontal="center"/>
    </xf>
    <xf numFmtId="0" fontId="0" fillId="5" borderId="0" xfId="0" applyFill="1"/>
    <xf numFmtId="49" fontId="22" fillId="0" borderId="0" xfId="0" applyNumberFormat="1" applyFont="1" applyAlignment="1">
      <alignment horizontal="center"/>
    </xf>
    <xf numFmtId="0" fontId="0" fillId="6" borderId="0" xfId="0" applyFill="1"/>
    <xf numFmtId="49" fontId="23" fillId="6" borderId="0" xfId="0" applyNumberFormat="1" applyFont="1" applyFill="1"/>
    <xf numFmtId="0" fontId="0" fillId="7" borderId="0" xfId="0" applyFill="1"/>
    <xf numFmtId="49" fontId="23" fillId="7" borderId="0" xfId="0" applyNumberFormat="1" applyFont="1" applyFill="1"/>
    <xf numFmtId="0" fontId="0" fillId="7" borderId="0" xfId="0" applyFill="1" applyAlignment="1">
      <alignment horizontal="center"/>
    </xf>
    <xf numFmtId="49" fontId="22" fillId="0" borderId="0" xfId="0" applyNumberFormat="1" applyFont="1" applyAlignment="1">
      <alignment horizontal="left"/>
    </xf>
    <xf numFmtId="0" fontId="0" fillId="10" borderId="0" xfId="0" applyFill="1"/>
    <xf numFmtId="0" fontId="0" fillId="8" borderId="0" xfId="0" applyFill="1"/>
    <xf numFmtId="49" fontId="22" fillId="0" borderId="0" xfId="0" applyNumberFormat="1" applyFont="1"/>
    <xf numFmtId="0" fontId="0" fillId="0" borderId="3" xfId="0" applyBorder="1"/>
    <xf numFmtId="49" fontId="23" fillId="8" borderId="0" xfId="0" applyNumberFormat="1" applyFont="1" applyFill="1"/>
    <xf numFmtId="0" fontId="0" fillId="9" borderId="0" xfId="0" applyFill="1" applyAlignment="1">
      <alignment horizontal="center"/>
    </xf>
    <xf numFmtId="0" fontId="22" fillId="0" borderId="0" xfId="0" applyFont="1"/>
    <xf numFmtId="0" fontId="0" fillId="11" borderId="0" xfId="0" applyFill="1"/>
    <xf numFmtId="0" fontId="24" fillId="0" borderId="0" xfId="0" applyFont="1"/>
    <xf numFmtId="0" fontId="0" fillId="0" borderId="0" xfId="0" applyAlignment="1">
      <alignment horizontal="right"/>
    </xf>
    <xf numFmtId="49" fontId="23" fillId="7" borderId="0" xfId="0" applyNumberFormat="1" applyFont="1" applyFill="1" applyAlignment="1">
      <alignment horizontal="left"/>
    </xf>
    <xf numFmtId="49" fontId="23" fillId="10" borderId="0" xfId="0" applyNumberFormat="1" applyFont="1" applyFill="1"/>
    <xf numFmtId="49" fontId="22" fillId="6" borderId="34" xfId="0" applyNumberFormat="1" applyFont="1" applyFill="1" applyBorder="1"/>
    <xf numFmtId="49" fontId="22" fillId="6" borderId="28" xfId="0" applyNumberFormat="1" applyFont="1" applyFill="1" applyBorder="1"/>
    <xf numFmtId="49" fontId="22" fillId="6" borderId="16" xfId="0" applyNumberFormat="1" applyFont="1" applyFill="1" applyBorder="1"/>
    <xf numFmtId="49" fontId="22" fillId="7" borderId="34" xfId="0" applyNumberFormat="1" applyFont="1" applyFill="1" applyBorder="1"/>
    <xf numFmtId="49" fontId="22" fillId="7" borderId="28" xfId="0" applyNumberFormat="1" applyFont="1" applyFill="1" applyBorder="1"/>
    <xf numFmtId="49" fontId="22" fillId="7" borderId="16" xfId="0" applyNumberFormat="1" applyFont="1" applyFill="1" applyBorder="1"/>
    <xf numFmtId="49" fontId="22" fillId="7" borderId="16" xfId="0" applyNumberFormat="1" applyFont="1" applyFill="1" applyBorder="1" applyAlignment="1">
      <alignment horizontal="center"/>
    </xf>
    <xf numFmtId="49" fontId="22" fillId="10" borderId="34" xfId="0" applyNumberFormat="1" applyFont="1" applyFill="1" applyBorder="1"/>
    <xf numFmtId="49" fontId="22" fillId="10" borderId="28" xfId="0" applyNumberFormat="1" applyFont="1" applyFill="1" applyBorder="1"/>
    <xf numFmtId="49" fontId="22" fillId="10" borderId="16" xfId="0" applyNumberFormat="1" applyFont="1" applyFill="1" applyBorder="1"/>
    <xf numFmtId="49" fontId="22" fillId="8" borderId="34" xfId="0" applyNumberFormat="1" applyFont="1" applyFill="1" applyBorder="1"/>
    <xf numFmtId="49" fontId="22" fillId="8" borderId="28" xfId="0" applyNumberFormat="1" applyFont="1" applyFill="1" applyBorder="1"/>
    <xf numFmtId="49" fontId="23" fillId="8" borderId="16" xfId="0" applyNumberFormat="1" applyFont="1" applyFill="1" applyBorder="1"/>
    <xf numFmtId="49" fontId="22" fillId="9" borderId="34" xfId="0" applyNumberFormat="1" applyFont="1" applyFill="1" applyBorder="1"/>
    <xf numFmtId="0" fontId="10" fillId="3" borderId="8" xfId="0" applyFont="1" applyFill="1" applyBorder="1" applyAlignment="1">
      <alignment horizontal="center" wrapText="1"/>
    </xf>
    <xf numFmtId="40" fontId="7" fillId="3" borderId="9" xfId="0" applyNumberFormat="1" applyFont="1" applyFill="1" applyBorder="1" applyAlignment="1">
      <alignment horizontal="center" vertical="center" wrapText="1"/>
    </xf>
    <xf numFmtId="0" fontId="10" fillId="3" borderId="22" xfId="0" applyFont="1" applyFill="1" applyBorder="1" applyAlignment="1">
      <alignment horizontal="center" vertical="center"/>
    </xf>
    <xf numFmtId="0" fontId="0" fillId="0" borderId="2" xfId="0" applyBorder="1" applyAlignment="1">
      <alignment vertical="center"/>
    </xf>
    <xf numFmtId="49" fontId="15" fillId="0" borderId="27" xfId="0" applyNumberFormat="1" applyFont="1" applyBorder="1"/>
    <xf numFmtId="0" fontId="0" fillId="0" borderId="27" xfId="0" applyBorder="1"/>
    <xf numFmtId="0" fontId="0" fillId="4" borderId="33" xfId="0" applyFill="1" applyBorder="1"/>
    <xf numFmtId="0" fontId="0" fillId="4" borderId="33" xfId="0" applyFill="1" applyBorder="1" applyAlignment="1">
      <alignment horizontal="center"/>
    </xf>
    <xf numFmtId="40" fontId="0" fillId="4" borderId="33" xfId="0" applyNumberFormat="1" applyFill="1" applyBorder="1"/>
    <xf numFmtId="40" fontId="0" fillId="4" borderId="42" xfId="0" applyNumberFormat="1" applyFill="1" applyBorder="1"/>
    <xf numFmtId="0" fontId="24" fillId="0" borderId="0" xfId="0" applyFont="1" applyAlignment="1">
      <alignment horizontal="center"/>
    </xf>
    <xf numFmtId="38" fontId="23" fillId="6" borderId="37" xfId="0" applyNumberFormat="1" applyFont="1" applyFill="1" applyBorder="1" applyAlignment="1">
      <alignment horizontal="right"/>
    </xf>
    <xf numFmtId="38" fontId="23" fillId="6" borderId="39" xfId="0" applyNumberFormat="1" applyFont="1" applyFill="1" applyBorder="1" applyAlignment="1">
      <alignment horizontal="right"/>
    </xf>
    <xf numFmtId="38" fontId="23" fillId="6" borderId="1" xfId="1" applyNumberFormat="1" applyFont="1" applyFill="1" applyBorder="1" applyAlignment="1">
      <alignment horizontal="right"/>
    </xf>
    <xf numFmtId="38" fontId="23" fillId="6" borderId="9" xfId="1" applyNumberFormat="1" applyFont="1" applyFill="1" applyBorder="1" applyAlignment="1">
      <alignment horizontal="right"/>
    </xf>
    <xf numFmtId="38" fontId="22" fillId="0" borderId="0" xfId="1" applyNumberFormat="1" applyFont="1" applyBorder="1" applyAlignment="1">
      <alignment horizontal="right"/>
    </xf>
    <xf numFmtId="38" fontId="9" fillId="0" borderId="0" xfId="1" applyNumberFormat="1" applyFont="1" applyBorder="1" applyAlignment="1">
      <alignment horizontal="right"/>
    </xf>
    <xf numFmtId="38" fontId="23" fillId="7" borderId="37" xfId="1" applyNumberFormat="1" applyFont="1" applyFill="1" applyBorder="1" applyAlignment="1">
      <alignment horizontal="right"/>
    </xf>
    <xf numFmtId="38" fontId="23" fillId="7" borderId="39" xfId="1" applyNumberFormat="1" applyFont="1" applyFill="1" applyBorder="1" applyAlignment="1">
      <alignment horizontal="right"/>
    </xf>
    <xf numFmtId="38" fontId="23" fillId="7" borderId="1" xfId="1" applyNumberFormat="1" applyFont="1" applyFill="1" applyBorder="1" applyAlignment="1">
      <alignment horizontal="right"/>
    </xf>
    <xf numFmtId="38" fontId="23" fillId="7" borderId="9" xfId="1" applyNumberFormat="1" applyFont="1" applyFill="1" applyBorder="1" applyAlignment="1">
      <alignment horizontal="right"/>
    </xf>
    <xf numFmtId="38" fontId="22" fillId="0" borderId="0" xfId="1" applyNumberFormat="1" applyFont="1" applyFill="1" applyBorder="1" applyAlignment="1">
      <alignment horizontal="right"/>
    </xf>
    <xf numFmtId="38" fontId="23" fillId="10" borderId="37" xfId="1" applyNumberFormat="1" applyFont="1" applyFill="1" applyBorder="1" applyAlignment="1">
      <alignment horizontal="right"/>
    </xf>
    <xf numFmtId="38" fontId="23" fillId="10" borderId="39" xfId="1" applyNumberFormat="1" applyFont="1" applyFill="1" applyBorder="1" applyAlignment="1">
      <alignment horizontal="right"/>
    </xf>
    <xf numFmtId="38" fontId="23" fillId="10" borderId="1" xfId="1" applyNumberFormat="1" applyFont="1" applyFill="1" applyBorder="1" applyAlignment="1">
      <alignment horizontal="right"/>
    </xf>
    <xf numFmtId="38" fontId="23" fillId="10" borderId="9" xfId="1" applyNumberFormat="1" applyFont="1" applyFill="1" applyBorder="1" applyAlignment="1">
      <alignment horizontal="right"/>
    </xf>
    <xf numFmtId="38" fontId="23" fillId="8" borderId="1" xfId="1" applyNumberFormat="1" applyFont="1" applyFill="1" applyBorder="1" applyAlignment="1">
      <alignment horizontal="right"/>
    </xf>
    <xf numFmtId="38" fontId="23" fillId="8" borderId="9" xfId="1" applyNumberFormat="1" applyFont="1" applyFill="1" applyBorder="1" applyAlignment="1">
      <alignment horizontal="right"/>
    </xf>
    <xf numFmtId="38" fontId="22" fillId="8" borderId="37" xfId="1" applyNumberFormat="1" applyFont="1" applyFill="1" applyBorder="1" applyAlignment="1">
      <alignment horizontal="right"/>
    </xf>
    <xf numFmtId="38" fontId="22" fillId="8" borderId="39" xfId="1" applyNumberFormat="1" applyFont="1" applyFill="1" applyBorder="1" applyAlignment="1">
      <alignment horizontal="right"/>
    </xf>
    <xf numFmtId="38" fontId="0" fillId="0" borderId="0" xfId="0" applyNumberFormat="1" applyAlignment="1">
      <alignment horizontal="right"/>
    </xf>
    <xf numFmtId="6" fontId="0" fillId="0" borderId="0" xfId="0" applyNumberFormat="1"/>
    <xf numFmtId="6" fontId="0" fillId="5" borderId="0" xfId="0" applyNumberFormat="1" applyFill="1"/>
    <xf numFmtId="6" fontId="0" fillId="6" borderId="18" xfId="0" applyNumberFormat="1" applyFill="1" applyBorder="1"/>
    <xf numFmtId="6" fontId="22" fillId="6" borderId="19" xfId="0" applyNumberFormat="1" applyFont="1" applyFill="1" applyBorder="1" applyAlignment="1">
      <alignment horizontal="center"/>
    </xf>
    <xf numFmtId="6" fontId="22" fillId="6" borderId="25" xfId="1" applyNumberFormat="1" applyFont="1" applyFill="1" applyBorder="1" applyAlignment="1">
      <alignment horizontal="right"/>
    </xf>
    <xf numFmtId="6" fontId="0" fillId="6" borderId="0" xfId="0" applyNumberFormat="1" applyFill="1"/>
    <xf numFmtId="6" fontId="0" fillId="7" borderId="18" xfId="0" applyNumberFormat="1" applyFill="1" applyBorder="1" applyAlignment="1">
      <alignment horizontal="center"/>
    </xf>
    <xf numFmtId="6" fontId="22" fillId="7" borderId="19" xfId="0" applyNumberFormat="1" applyFont="1" applyFill="1" applyBorder="1" applyAlignment="1">
      <alignment horizontal="center"/>
    </xf>
    <xf numFmtId="6" fontId="22" fillId="7" borderId="25" xfId="1" applyNumberFormat="1" applyFont="1" applyFill="1" applyBorder="1" applyAlignment="1">
      <alignment horizontal="right"/>
    </xf>
    <xf numFmtId="6" fontId="0" fillId="7" borderId="0" xfId="0" applyNumberFormat="1" applyFill="1" applyAlignment="1">
      <alignment horizontal="center"/>
    </xf>
    <xf numFmtId="6" fontId="0" fillId="10" borderId="18" xfId="0" applyNumberFormat="1" applyFill="1" applyBorder="1"/>
    <xf numFmtId="6" fontId="22" fillId="10" borderId="19" xfId="0" applyNumberFormat="1" applyFont="1" applyFill="1" applyBorder="1" applyAlignment="1">
      <alignment horizontal="center"/>
    </xf>
    <xf numFmtId="6" fontId="22" fillId="10" borderId="25" xfId="1" applyNumberFormat="1" applyFont="1" applyFill="1" applyBorder="1" applyAlignment="1">
      <alignment horizontal="right"/>
    </xf>
    <xf numFmtId="6" fontId="22" fillId="10" borderId="20" xfId="1" applyNumberFormat="1" applyFont="1" applyFill="1" applyBorder="1" applyAlignment="1">
      <alignment horizontal="right"/>
    </xf>
    <xf numFmtId="6" fontId="0" fillId="10" borderId="0" xfId="0" applyNumberFormat="1" applyFill="1"/>
    <xf numFmtId="6" fontId="22" fillId="8" borderId="19" xfId="0" applyNumberFormat="1" applyFont="1" applyFill="1" applyBorder="1" applyAlignment="1">
      <alignment horizontal="center"/>
    </xf>
    <xf numFmtId="6" fontId="22" fillId="8" borderId="25" xfId="1" applyNumberFormat="1" applyFont="1" applyFill="1" applyBorder="1" applyAlignment="1">
      <alignment horizontal="right"/>
    </xf>
    <xf numFmtId="6" fontId="0" fillId="0" borderId="2" xfId="0" applyNumberFormat="1" applyBorder="1"/>
    <xf numFmtId="6" fontId="0" fillId="8" borderId="2" xfId="0" applyNumberFormat="1" applyFill="1" applyBorder="1"/>
    <xf numFmtId="6" fontId="0" fillId="8" borderId="18" xfId="0" applyNumberFormat="1" applyFill="1" applyBorder="1"/>
    <xf numFmtId="6" fontId="0" fillId="9" borderId="35" xfId="0" applyNumberFormat="1" applyFill="1" applyBorder="1"/>
    <xf numFmtId="6" fontId="0" fillId="9" borderId="0" xfId="0" applyNumberFormat="1" applyFill="1"/>
    <xf numFmtId="6" fontId="0" fillId="0" borderId="0" xfId="0" applyNumberFormat="1" applyAlignment="1">
      <alignment horizontal="right"/>
    </xf>
    <xf numFmtId="41" fontId="0" fillId="0" borderId="0" xfId="0" applyNumberFormat="1"/>
    <xf numFmtId="41" fontId="14" fillId="0" borderId="0" xfId="0" applyNumberFormat="1" applyFont="1"/>
    <xf numFmtId="41" fontId="15" fillId="0" borderId="0" xfId="0" applyNumberFormat="1" applyFont="1" applyAlignment="1">
      <alignment horizontal="center" vertical="center"/>
    </xf>
    <xf numFmtId="41" fontId="19" fillId="0" borderId="0" xfId="0" applyNumberFormat="1" applyFont="1" applyAlignment="1">
      <alignment vertical="center"/>
    </xf>
    <xf numFmtId="41" fontId="19" fillId="0" borderId="27" xfId="0" applyNumberFormat="1" applyFont="1" applyBorder="1"/>
    <xf numFmtId="41" fontId="19" fillId="0" borderId="2" xfId="0" applyNumberFormat="1" applyFont="1" applyBorder="1" applyAlignment="1">
      <alignment vertical="center"/>
    </xf>
    <xf numFmtId="41" fontId="15" fillId="0" borderId="0" xfId="0" applyNumberFormat="1" applyFont="1" applyAlignment="1">
      <alignment vertical="center"/>
    </xf>
    <xf numFmtId="41" fontId="19" fillId="0" borderId="2" xfId="0" applyNumberFormat="1" applyFont="1" applyBorder="1"/>
    <xf numFmtId="41" fontId="15" fillId="0" borderId="3" xfId="0" applyNumberFormat="1" applyFont="1" applyBorder="1" applyAlignment="1">
      <alignment vertical="center"/>
    </xf>
    <xf numFmtId="41" fontId="17" fillId="0" borderId="30" xfId="0" applyNumberFormat="1" applyFont="1" applyBorder="1" applyAlignment="1">
      <alignment vertical="center"/>
    </xf>
    <xf numFmtId="41" fontId="19" fillId="0" borderId="27" xfId="0" applyNumberFormat="1" applyFont="1" applyBorder="1" applyAlignment="1">
      <alignment vertical="center"/>
    </xf>
    <xf numFmtId="41" fontId="19" fillId="0" borderId="6" xfId="0" applyNumberFormat="1" applyFont="1" applyBorder="1" applyAlignment="1">
      <alignment vertical="center"/>
    </xf>
    <xf numFmtId="42" fontId="19" fillId="0" borderId="0" xfId="0" applyNumberFormat="1" applyFont="1" applyAlignment="1">
      <alignment vertical="center"/>
    </xf>
    <xf numFmtId="42" fontId="16" fillId="0" borderId="31" xfId="0" applyNumberFormat="1" applyFont="1" applyBorder="1" applyAlignment="1">
      <alignment vertical="center"/>
    </xf>
    <xf numFmtId="41" fontId="0" fillId="0" borderId="0" xfId="0" applyNumberFormat="1" applyAlignment="1">
      <alignment vertical="center"/>
    </xf>
    <xf numFmtId="164" fontId="0" fillId="0" borderId="0" xfId="1" applyNumberFormat="1" applyFont="1" applyFill="1" applyBorder="1" applyAlignment="1"/>
    <xf numFmtId="42" fontId="0" fillId="0" borderId="0" xfId="0" applyNumberFormat="1"/>
    <xf numFmtId="42" fontId="7" fillId="3" borderId="6" xfId="0" applyNumberFormat="1" applyFont="1" applyFill="1" applyBorder="1"/>
    <xf numFmtId="0" fontId="10" fillId="4" borderId="32" xfId="0" applyFont="1" applyFill="1" applyBorder="1" applyAlignment="1">
      <alignment vertical="center"/>
    </xf>
    <xf numFmtId="0" fontId="10" fillId="4" borderId="33" xfId="0" applyFont="1" applyFill="1" applyBorder="1" applyAlignment="1">
      <alignment vertical="center"/>
    </xf>
    <xf numFmtId="0" fontId="10" fillId="4" borderId="42" xfId="0" applyFont="1" applyFill="1" applyBorder="1" applyAlignment="1">
      <alignment vertical="center"/>
    </xf>
    <xf numFmtId="40" fontId="7" fillId="3" borderId="47" xfId="0" applyNumberFormat="1" applyFont="1" applyFill="1" applyBorder="1" applyAlignment="1">
      <alignment horizontal="center" vertical="center" wrapText="1"/>
    </xf>
    <xf numFmtId="0" fontId="10" fillId="3" borderId="35" xfId="0" applyFont="1" applyFill="1" applyBorder="1"/>
    <xf numFmtId="0" fontId="10" fillId="3" borderId="27" xfId="0" applyFont="1" applyFill="1" applyBorder="1"/>
    <xf numFmtId="0" fontId="10" fillId="3" borderId="27" xfId="0" applyFont="1" applyFill="1" applyBorder="1" applyAlignment="1">
      <alignment horizontal="center"/>
    </xf>
    <xf numFmtId="14" fontId="10" fillId="3" borderId="27" xfId="0" applyNumberFormat="1" applyFont="1" applyFill="1" applyBorder="1" applyAlignment="1">
      <alignment horizontal="center"/>
    </xf>
    <xf numFmtId="42" fontId="26" fillId="0" borderId="0" xfId="0" applyNumberFormat="1" applyFont="1" applyAlignment="1">
      <alignment horizontal="right" vertical="center"/>
    </xf>
    <xf numFmtId="41" fontId="19" fillId="0" borderId="0" xfId="0" applyNumberFormat="1" applyFont="1"/>
    <xf numFmtId="49" fontId="16" fillId="0" borderId="0" xfId="0" applyNumberFormat="1" applyFont="1" applyAlignment="1">
      <alignment vertical="center"/>
    </xf>
    <xf numFmtId="42" fontId="16" fillId="0" borderId="0" xfId="0" applyNumberFormat="1" applyFont="1" applyAlignment="1">
      <alignment vertical="center"/>
    </xf>
    <xf numFmtId="41" fontId="17" fillId="0" borderId="0" xfId="0" applyNumberFormat="1" applyFont="1" applyAlignment="1">
      <alignment vertical="center"/>
    </xf>
    <xf numFmtId="49" fontId="20" fillId="0" borderId="0" xfId="0" applyNumberFormat="1" applyFont="1" applyAlignment="1">
      <alignment vertical="center"/>
    </xf>
    <xf numFmtId="42" fontId="15" fillId="0" borderId="0" xfId="0" applyNumberFormat="1" applyFont="1" applyAlignment="1">
      <alignment vertical="center"/>
    </xf>
    <xf numFmtId="0" fontId="27" fillId="0" borderId="0" xfId="0" applyFont="1"/>
    <xf numFmtId="41" fontId="27" fillId="0" borderId="0" xfId="0" applyNumberFormat="1" applyFont="1" applyAlignment="1">
      <alignment vertical="center"/>
    </xf>
    <xf numFmtId="41" fontId="19" fillId="0" borderId="0" xfId="0" applyNumberFormat="1" applyFont="1" applyAlignment="1">
      <alignment horizontal="right" vertical="center"/>
    </xf>
    <xf numFmtId="41" fontId="27" fillId="0" borderId="0" xfId="0" applyNumberFormat="1" applyFont="1"/>
    <xf numFmtId="0" fontId="28" fillId="0" borderId="0" xfId="0" applyFont="1"/>
    <xf numFmtId="38" fontId="19" fillId="0" borderId="0" xfId="0" applyNumberFormat="1" applyFont="1" applyAlignment="1">
      <alignment vertical="center"/>
    </xf>
    <xf numFmtId="165" fontId="29" fillId="0" borderId="27" xfId="0" applyNumberFormat="1" applyFont="1" applyBorder="1" applyAlignment="1">
      <alignment horizontal="center"/>
    </xf>
    <xf numFmtId="10" fontId="0" fillId="0" borderId="0" xfId="0" applyNumberFormat="1"/>
    <xf numFmtId="0" fontId="30" fillId="0" borderId="0" xfId="0" applyFont="1" applyAlignment="1">
      <alignment horizontal="left"/>
    </xf>
    <xf numFmtId="42" fontId="10" fillId="3" borderId="46" xfId="1" applyNumberFormat="1" applyFont="1" applyFill="1" applyBorder="1" applyAlignment="1"/>
    <xf numFmtId="42" fontId="7" fillId="3" borderId="35" xfId="0" applyNumberFormat="1" applyFont="1" applyFill="1" applyBorder="1"/>
    <xf numFmtId="0" fontId="0" fillId="0" borderId="49" xfId="0" applyBorder="1"/>
    <xf numFmtId="0" fontId="0" fillId="0" borderId="46" xfId="0" applyBorder="1"/>
    <xf numFmtId="42" fontId="7" fillId="3" borderId="27" xfId="0" applyNumberFormat="1" applyFont="1" applyFill="1" applyBorder="1"/>
    <xf numFmtId="42" fontId="7" fillId="3" borderId="27" xfId="0" applyNumberFormat="1" applyFont="1" applyFill="1" applyBorder="1" applyAlignment="1">
      <alignment horizontal="center"/>
    </xf>
    <xf numFmtId="14" fontId="0" fillId="0" borderId="49" xfId="0" applyNumberFormat="1" applyBorder="1" applyAlignment="1">
      <alignment horizontal="center"/>
    </xf>
    <xf numFmtId="0" fontId="0" fillId="0" borderId="49" xfId="0" applyBorder="1" applyAlignment="1">
      <alignment horizontal="center"/>
    </xf>
    <xf numFmtId="42" fontId="7" fillId="3" borderId="40" xfId="0" applyNumberFormat="1" applyFont="1" applyFill="1" applyBorder="1"/>
    <xf numFmtId="41" fontId="0" fillId="0" borderId="49" xfId="1" applyNumberFormat="1" applyFont="1" applyFill="1" applyBorder="1" applyAlignment="1"/>
    <xf numFmtId="41" fontId="0" fillId="0" borderId="46" xfId="1" applyNumberFormat="1" applyFont="1" applyFill="1" applyBorder="1" applyAlignment="1"/>
    <xf numFmtId="42" fontId="7" fillId="3" borderId="50" xfId="0" applyNumberFormat="1" applyFont="1" applyFill="1" applyBorder="1"/>
    <xf numFmtId="42" fontId="7" fillId="3" borderId="51" xfId="0" applyNumberFormat="1" applyFont="1" applyFill="1" applyBorder="1"/>
    <xf numFmtId="0" fontId="10" fillId="4" borderId="34" xfId="0" applyFont="1" applyFill="1" applyBorder="1"/>
    <xf numFmtId="0" fontId="8" fillId="4" borderId="28" xfId="0" applyFont="1" applyFill="1" applyBorder="1"/>
    <xf numFmtId="0" fontId="8" fillId="4" borderId="28" xfId="0" applyFont="1" applyFill="1" applyBorder="1" applyAlignment="1">
      <alignment horizontal="center"/>
    </xf>
    <xf numFmtId="40" fontId="8" fillId="4" borderId="28" xfId="0" applyNumberFormat="1" applyFont="1" applyFill="1" applyBorder="1"/>
    <xf numFmtId="38" fontId="0" fillId="0" borderId="46" xfId="1" applyNumberFormat="1" applyFont="1" applyFill="1" applyBorder="1" applyAlignment="1"/>
    <xf numFmtId="40" fontId="8" fillId="4" borderId="41" xfId="0" applyNumberFormat="1" applyFont="1" applyFill="1" applyBorder="1"/>
    <xf numFmtId="40" fontId="8" fillId="4" borderId="36" xfId="0" applyNumberFormat="1" applyFont="1" applyFill="1" applyBorder="1"/>
    <xf numFmtId="41" fontId="0" fillId="0" borderId="48" xfId="1" applyNumberFormat="1" applyFont="1" applyFill="1" applyBorder="1" applyAlignment="1"/>
    <xf numFmtId="38" fontId="0" fillId="0" borderId="49" xfId="1" applyNumberFormat="1" applyFont="1" applyFill="1" applyBorder="1" applyAlignment="1"/>
    <xf numFmtId="41" fontId="0" fillId="0" borderId="0" xfId="1" applyNumberFormat="1" applyFont="1" applyFill="1" applyBorder="1" applyAlignment="1"/>
    <xf numFmtId="38" fontId="0" fillId="0" borderId="0" xfId="0" applyNumberFormat="1"/>
    <xf numFmtId="166" fontId="0" fillId="0" borderId="0" xfId="0" applyNumberFormat="1" applyAlignment="1">
      <alignment horizontal="right"/>
    </xf>
    <xf numFmtId="0" fontId="31" fillId="0" borderId="0" xfId="0" applyFont="1" applyAlignment="1">
      <alignment horizontal="center"/>
    </xf>
    <xf numFmtId="0" fontId="7" fillId="3" borderId="44" xfId="0" applyFont="1" applyFill="1" applyBorder="1" applyAlignment="1">
      <alignment horizontal="center" vertical="center"/>
    </xf>
    <xf numFmtId="42" fontId="7" fillId="3" borderId="32" xfId="0" applyNumberFormat="1" applyFont="1" applyFill="1" applyBorder="1"/>
    <xf numFmtId="42" fontId="7" fillId="3" borderId="33" xfId="0" applyNumberFormat="1" applyFont="1" applyFill="1" applyBorder="1"/>
    <xf numFmtId="42" fontId="7" fillId="3" borderId="42" xfId="0" applyNumberFormat="1" applyFont="1" applyFill="1" applyBorder="1"/>
    <xf numFmtId="40" fontId="7" fillId="3" borderId="44" xfId="0" applyNumberFormat="1" applyFont="1" applyFill="1" applyBorder="1" applyAlignment="1">
      <alignment horizontal="center" vertical="center"/>
    </xf>
    <xf numFmtId="40" fontId="7" fillId="3" borderId="44" xfId="0" applyNumberFormat="1" applyFont="1" applyFill="1" applyBorder="1" applyAlignment="1">
      <alignment horizontal="center" vertical="center" wrapText="1"/>
    </xf>
    <xf numFmtId="0" fontId="0" fillId="0" borderId="55" xfId="0" applyBorder="1" applyAlignment="1">
      <alignment horizontal="center" vertical="center"/>
    </xf>
    <xf numFmtId="42" fontId="15" fillId="0" borderId="31" xfId="0" applyNumberFormat="1" applyFont="1" applyBorder="1" applyAlignment="1">
      <alignment vertical="center"/>
    </xf>
    <xf numFmtId="165" fontId="29" fillId="0" borderId="0" xfId="0" applyNumberFormat="1" applyFont="1" applyAlignment="1">
      <alignment horizontal="center"/>
    </xf>
    <xf numFmtId="41" fontId="17" fillId="0" borderId="55" xfId="0" applyNumberFormat="1" applyFont="1" applyBorder="1" applyAlignment="1">
      <alignment vertical="center"/>
    </xf>
    <xf numFmtId="41" fontId="15" fillId="0" borderId="55" xfId="0" applyNumberFormat="1" applyFont="1" applyBorder="1" applyAlignment="1">
      <alignment vertical="center"/>
    </xf>
    <xf numFmtId="41" fontId="0" fillId="0" borderId="11" xfId="1" applyNumberFormat="1" applyFont="1" applyFill="1" applyBorder="1" applyAlignment="1"/>
    <xf numFmtId="41" fontId="0" fillId="0" borderId="11" xfId="0" applyNumberFormat="1" applyBorder="1"/>
    <xf numFmtId="0" fontId="0" fillId="0" borderId="52" xfId="0" applyBorder="1"/>
    <xf numFmtId="41" fontId="0" fillId="0" borderId="53" xfId="1" applyNumberFormat="1" applyFont="1" applyFill="1" applyBorder="1" applyAlignment="1"/>
    <xf numFmtId="41" fontId="0" fillId="0" borderId="54" xfId="1" applyNumberFormat="1" applyFont="1" applyFill="1" applyBorder="1" applyAlignment="1"/>
    <xf numFmtId="0" fontId="0" fillId="0" borderId="15" xfId="0" applyBorder="1"/>
    <xf numFmtId="41" fontId="0" fillId="0" borderId="56" xfId="1" applyNumberFormat="1" applyFont="1" applyFill="1" applyBorder="1" applyAlignment="1"/>
    <xf numFmtId="0" fontId="0" fillId="0" borderId="26" xfId="0" applyBorder="1"/>
    <xf numFmtId="41" fontId="0" fillId="0" borderId="20" xfId="1" applyNumberFormat="1" applyFont="1" applyFill="1" applyBorder="1" applyAlignment="1"/>
    <xf numFmtId="41" fontId="0" fillId="0" borderId="21" xfId="1" applyNumberFormat="1" applyFont="1" applyFill="1" applyBorder="1" applyAlignment="1"/>
    <xf numFmtId="43" fontId="0" fillId="0" borderId="0" xfId="0" applyNumberFormat="1" applyAlignment="1">
      <alignment vertical="center"/>
    </xf>
    <xf numFmtId="49" fontId="32" fillId="0" borderId="0" xfId="0" applyNumberFormat="1" applyFont="1" applyAlignment="1">
      <alignment vertical="center"/>
    </xf>
    <xf numFmtId="49" fontId="22" fillId="11" borderId="34" xfId="0" applyNumberFormat="1" applyFont="1" applyFill="1" applyBorder="1"/>
    <xf numFmtId="49" fontId="22" fillId="11" borderId="28" xfId="0" applyNumberFormat="1" applyFont="1" applyFill="1" applyBorder="1"/>
    <xf numFmtId="6" fontId="22" fillId="11" borderId="39" xfId="1" applyNumberFormat="1" applyFont="1" applyFill="1" applyBorder="1" applyAlignment="1">
      <alignment horizontal="right"/>
    </xf>
    <xf numFmtId="49" fontId="22" fillId="11" borderId="16" xfId="0" applyNumberFormat="1" applyFont="1" applyFill="1" applyBorder="1"/>
    <xf numFmtId="49" fontId="22" fillId="11" borderId="24" xfId="0" applyNumberFormat="1" applyFont="1" applyFill="1" applyBorder="1"/>
    <xf numFmtId="6" fontId="22" fillId="11" borderId="40" xfId="1" applyNumberFormat="1" applyFont="1" applyFill="1" applyBorder="1" applyAlignment="1">
      <alignment horizontal="right"/>
    </xf>
    <xf numFmtId="49" fontId="23" fillId="11" borderId="0" xfId="0" applyNumberFormat="1" applyFont="1" applyFill="1"/>
    <xf numFmtId="49" fontId="23" fillId="11" borderId="2" xfId="0" applyNumberFormat="1" applyFont="1" applyFill="1" applyBorder="1"/>
    <xf numFmtId="41" fontId="0" fillId="0" borderId="6" xfId="0" applyNumberFormat="1" applyBorder="1" applyAlignment="1">
      <alignment horizontal="right"/>
    </xf>
    <xf numFmtId="42" fontId="16" fillId="0" borderId="55" xfId="0" applyNumberFormat="1" applyFont="1" applyBorder="1" applyAlignment="1">
      <alignment vertical="center"/>
    </xf>
    <xf numFmtId="38" fontId="22" fillId="11" borderId="39" xfId="1" applyNumberFormat="1" applyFont="1" applyFill="1" applyBorder="1" applyAlignment="1">
      <alignment horizontal="right"/>
    </xf>
    <xf numFmtId="41" fontId="0" fillId="0" borderId="0" xfId="0" applyNumberFormat="1" applyAlignment="1">
      <alignment horizontal="right"/>
    </xf>
    <xf numFmtId="8" fontId="14" fillId="0" borderId="0" xfId="0" applyNumberFormat="1" applyFont="1"/>
    <xf numFmtId="8" fontId="0" fillId="0" borderId="0" xfId="0" applyNumberFormat="1" applyAlignment="1">
      <alignment horizontal="center" vertical="center"/>
    </xf>
    <xf numFmtId="8" fontId="0" fillId="0" borderId="0" xfId="0" applyNumberFormat="1" applyAlignment="1">
      <alignment vertical="center"/>
    </xf>
    <xf numFmtId="8" fontId="0" fillId="0" borderId="0" xfId="0" applyNumberFormat="1"/>
    <xf numFmtId="49" fontId="22" fillId="9" borderId="16" xfId="0" applyNumberFormat="1" applyFont="1" applyFill="1" applyBorder="1"/>
    <xf numFmtId="42" fontId="7" fillId="3" borderId="58" xfId="1" applyNumberFormat="1" applyFont="1" applyFill="1" applyBorder="1" applyAlignment="1"/>
    <xf numFmtId="42" fontId="7" fillId="3" borderId="38" xfId="1" applyNumberFormat="1" applyFont="1" applyFill="1" applyBorder="1" applyAlignment="1"/>
    <xf numFmtId="42" fontId="7" fillId="3" borderId="59" xfId="1" applyNumberFormat="1" applyFont="1" applyFill="1" applyBorder="1" applyAlignment="1"/>
    <xf numFmtId="42" fontId="7" fillId="3" borderId="60" xfId="1" applyNumberFormat="1" applyFont="1" applyFill="1" applyBorder="1" applyAlignment="1"/>
    <xf numFmtId="41" fontId="27" fillId="0" borderId="27" xfId="0" applyNumberFormat="1" applyFont="1" applyBorder="1" applyAlignment="1">
      <alignment vertical="center"/>
    </xf>
    <xf numFmtId="42" fontId="27" fillId="0" borderId="0" xfId="0" applyNumberFormat="1" applyFont="1" applyAlignment="1">
      <alignment vertical="center"/>
    </xf>
    <xf numFmtId="42" fontId="0" fillId="0" borderId="0" xfId="0" applyNumberFormat="1" applyAlignment="1">
      <alignment vertical="center"/>
    </xf>
    <xf numFmtId="41" fontId="33" fillId="0" borderId="49" xfId="1" applyNumberFormat="1" applyFont="1" applyFill="1" applyBorder="1" applyAlignment="1"/>
    <xf numFmtId="6" fontId="0" fillId="0" borderId="55" xfId="0" applyNumberFormat="1" applyBorder="1" applyAlignment="1">
      <alignment horizontal="right"/>
    </xf>
    <xf numFmtId="0" fontId="27" fillId="0" borderId="0" xfId="0" applyFont="1" applyAlignment="1">
      <alignment vertical="center"/>
    </xf>
    <xf numFmtId="0" fontId="15" fillId="0" borderId="0" xfId="0" applyFont="1" applyAlignment="1">
      <alignment vertical="center"/>
    </xf>
    <xf numFmtId="0" fontId="27" fillId="0" borderId="27" xfId="0" applyFont="1" applyBorder="1" applyAlignment="1">
      <alignment vertical="center"/>
    </xf>
    <xf numFmtId="41" fontId="17" fillId="0" borderId="30" xfId="0" applyNumberFormat="1" applyFont="1" applyBorder="1" applyAlignment="1">
      <alignment horizontal="center" vertical="center"/>
    </xf>
    <xf numFmtId="49" fontId="19" fillId="0" borderId="27" xfId="0" applyNumberFormat="1" applyFont="1" applyBorder="1" applyAlignment="1">
      <alignment vertical="center"/>
    </xf>
    <xf numFmtId="49" fontId="15" fillId="0" borderId="0" xfId="0" applyNumberFormat="1" applyFont="1" applyAlignment="1">
      <alignment wrapText="1"/>
    </xf>
    <xf numFmtId="165" fontId="29" fillId="0" borderId="27" xfId="0" applyNumberFormat="1" applyFont="1" applyBorder="1" applyAlignment="1">
      <alignment horizontal="center" vertical="center" wrapText="1"/>
    </xf>
    <xf numFmtId="10" fontId="15" fillId="0" borderId="0" xfId="0" applyNumberFormat="1" applyFont="1" applyAlignment="1">
      <alignment vertical="center"/>
    </xf>
    <xf numFmtId="0" fontId="27" fillId="0" borderId="30" xfId="0" applyFont="1" applyBorder="1" applyAlignment="1">
      <alignment horizontal="center" vertical="center"/>
    </xf>
    <xf numFmtId="164" fontId="11" fillId="0" borderId="0" xfId="0" applyNumberFormat="1" applyFont="1" applyAlignment="1">
      <alignment horizontal="center" vertical="center"/>
    </xf>
    <xf numFmtId="164" fontId="11" fillId="0" borderId="27" xfId="0" applyNumberFormat="1" applyFont="1" applyBorder="1" applyAlignment="1">
      <alignment horizontal="center" vertical="center"/>
    </xf>
    <xf numFmtId="0" fontId="27" fillId="0" borderId="30" xfId="0" applyFont="1" applyBorder="1" applyAlignment="1">
      <alignment horizontal="right" vertical="center"/>
    </xf>
    <xf numFmtId="0" fontId="0" fillId="9" borderId="34" xfId="0" applyFill="1" applyBorder="1" applyAlignment="1">
      <alignment horizontal="center"/>
    </xf>
    <xf numFmtId="38" fontId="0" fillId="9" borderId="39" xfId="0" applyNumberFormat="1" applyFill="1" applyBorder="1" applyAlignment="1">
      <alignment horizontal="center"/>
    </xf>
    <xf numFmtId="38" fontId="0" fillId="9" borderId="37" xfId="0" applyNumberFormat="1" applyFill="1" applyBorder="1" applyAlignment="1">
      <alignment horizontal="center"/>
    </xf>
    <xf numFmtId="164" fontId="45" fillId="0" borderId="0" xfId="0" applyNumberFormat="1" applyFont="1" applyAlignment="1">
      <alignment horizontal="center" vertical="center"/>
    </xf>
    <xf numFmtId="6" fontId="23" fillId="9" borderId="0" xfId="0" applyNumberFormat="1" applyFont="1" applyFill="1"/>
    <xf numFmtId="6" fontId="22" fillId="9" borderId="19" xfId="0" applyNumberFormat="1" applyFont="1" applyFill="1" applyBorder="1" applyAlignment="1">
      <alignment horizontal="center"/>
    </xf>
    <xf numFmtId="6" fontId="22" fillId="0" borderId="0" xfId="1" applyNumberFormat="1" applyFont="1" applyFill="1" applyBorder="1" applyAlignment="1">
      <alignment horizontal="right"/>
    </xf>
    <xf numFmtId="6" fontId="22" fillId="12" borderId="38" xfId="1" applyNumberFormat="1" applyFont="1" applyFill="1" applyBorder="1" applyAlignment="1">
      <alignment horizontal="right"/>
    </xf>
    <xf numFmtId="38" fontId="22" fillId="12" borderId="38" xfId="1" applyNumberFormat="1" applyFont="1" applyFill="1" applyBorder="1" applyAlignment="1">
      <alignment horizontal="right"/>
    </xf>
    <xf numFmtId="42" fontId="7" fillId="2" borderId="44" xfId="0" applyNumberFormat="1" applyFont="1" applyFill="1" applyBorder="1"/>
    <xf numFmtId="40" fontId="47" fillId="0" borderId="0" xfId="0" applyNumberFormat="1" applyFont="1" applyAlignment="1">
      <alignment horizontal="center" vertical="center"/>
    </xf>
    <xf numFmtId="164" fontId="46" fillId="0" borderId="0" xfId="0" applyNumberFormat="1" applyFont="1" applyAlignment="1">
      <alignment horizontal="center" vertical="center"/>
    </xf>
    <xf numFmtId="166" fontId="38" fillId="0" borderId="0" xfId="0" applyNumberFormat="1" applyFont="1" applyAlignment="1">
      <alignment horizontal="right" wrapText="1"/>
    </xf>
    <xf numFmtId="0" fontId="38" fillId="0" borderId="0" xfId="0" applyFont="1" applyAlignment="1">
      <alignment horizontal="right" wrapText="1"/>
    </xf>
    <xf numFmtId="41" fontId="38" fillId="0" borderId="0" xfId="0" applyNumberFormat="1" applyFont="1" applyAlignment="1">
      <alignment horizontal="center" wrapText="1"/>
    </xf>
    <xf numFmtId="0" fontId="37" fillId="0" borderId="0" xfId="0" applyFont="1" applyAlignment="1">
      <alignment horizontal="left" vertical="center" wrapText="1"/>
    </xf>
    <xf numFmtId="0" fontId="41" fillId="0" borderId="0" xfId="0" quotePrefix="1" applyFont="1" applyAlignment="1">
      <alignment horizontal="center" vertical="center" wrapText="1"/>
    </xf>
    <xf numFmtId="42" fontId="38" fillId="0" borderId="31" xfId="0" applyNumberFormat="1" applyFont="1" applyBorder="1" applyAlignment="1">
      <alignment horizontal="center" vertical="center" wrapText="1"/>
    </xf>
    <xf numFmtId="166" fontId="38" fillId="0" borderId="0" xfId="0" applyNumberFormat="1" applyFont="1" applyAlignment="1">
      <alignment horizontal="center" wrapText="1"/>
    </xf>
    <xf numFmtId="6" fontId="38" fillId="0" borderId="31" xfId="0" applyNumberFormat="1" applyFont="1" applyBorder="1" applyAlignment="1">
      <alignment horizontal="right" wrapText="1"/>
    </xf>
    <xf numFmtId="42" fontId="38" fillId="0" borderId="31" xfId="0" applyNumberFormat="1" applyFont="1" applyBorder="1" applyAlignment="1">
      <alignment horizontal="left" vertical="center" wrapText="1"/>
    </xf>
    <xf numFmtId="0" fontId="44" fillId="0" borderId="0" xfId="0" applyFont="1" applyAlignment="1">
      <alignment horizontal="center" wrapText="1"/>
    </xf>
    <xf numFmtId="0" fontId="37" fillId="0" borderId="0" xfId="0" applyFont="1" applyAlignment="1">
      <alignment horizontal="center" vertical="center" wrapText="1"/>
    </xf>
    <xf numFmtId="0" fontId="38" fillId="0" borderId="0" xfId="0" applyFont="1" applyAlignment="1">
      <alignment horizontal="left" vertical="center" wrapText="1"/>
    </xf>
    <xf numFmtId="41" fontId="38" fillId="0" borderId="0" xfId="0" applyNumberFormat="1" applyFont="1" applyAlignment="1">
      <alignment horizontal="center" vertical="center" wrapText="1"/>
    </xf>
    <xf numFmtId="0" fontId="41" fillId="0" borderId="0" xfId="0" applyFont="1" applyAlignment="1">
      <alignment horizontal="center" vertical="center" wrapText="1"/>
    </xf>
    <xf numFmtId="38" fontId="23" fillId="9" borderId="9" xfId="1" applyNumberFormat="1" applyFont="1" applyFill="1" applyBorder="1" applyAlignment="1">
      <alignment horizontal="right"/>
    </xf>
    <xf numFmtId="38" fontId="23" fillId="11" borderId="9" xfId="1" applyNumberFormat="1" applyFont="1" applyFill="1" applyBorder="1" applyAlignment="1">
      <alignment horizontal="right"/>
    </xf>
    <xf numFmtId="38" fontId="23" fillId="11" borderId="10" xfId="1" applyNumberFormat="1" applyFont="1" applyFill="1" applyBorder="1" applyAlignment="1">
      <alignment horizontal="right"/>
    </xf>
    <xf numFmtId="49" fontId="22" fillId="12" borderId="33" xfId="0" applyNumberFormat="1" applyFont="1" applyFill="1" applyBorder="1" applyAlignment="1">
      <alignment vertical="center"/>
    </xf>
    <xf numFmtId="49" fontId="22" fillId="12" borderId="32" xfId="0" applyNumberFormat="1" applyFont="1" applyFill="1" applyBorder="1" applyAlignment="1">
      <alignment vertical="center"/>
    </xf>
    <xf numFmtId="49" fontId="22" fillId="13" borderId="33" xfId="0" applyNumberFormat="1" applyFont="1" applyFill="1" applyBorder="1"/>
    <xf numFmtId="6" fontId="22" fillId="13" borderId="38" xfId="1" applyNumberFormat="1" applyFont="1" applyFill="1" applyBorder="1" applyAlignment="1">
      <alignment horizontal="right"/>
    </xf>
    <xf numFmtId="38" fontId="22" fillId="13" borderId="38" xfId="1" applyNumberFormat="1" applyFont="1" applyFill="1" applyBorder="1" applyAlignment="1">
      <alignment horizontal="right"/>
    </xf>
    <xf numFmtId="49" fontId="22" fillId="13" borderId="32" xfId="0" applyNumberFormat="1" applyFont="1" applyFill="1" applyBorder="1" applyAlignment="1">
      <alignment vertical="center"/>
    </xf>
    <xf numFmtId="164" fontId="46" fillId="0" borderId="27" xfId="0" applyNumberFormat="1" applyFont="1" applyBorder="1" applyAlignment="1">
      <alignment horizontal="center" vertical="center"/>
    </xf>
    <xf numFmtId="42" fontId="27" fillId="0" borderId="31" xfId="0" applyNumberFormat="1" applyFont="1" applyBorder="1" applyAlignment="1">
      <alignment vertical="center"/>
    </xf>
    <xf numFmtId="41" fontId="19" fillId="0" borderId="19" xfId="0" applyNumberFormat="1" applyFont="1" applyBorder="1" applyAlignment="1">
      <alignment vertical="center"/>
    </xf>
    <xf numFmtId="42" fontId="19" fillId="0" borderId="27" xfId="0" applyNumberFormat="1" applyFont="1" applyBorder="1" applyAlignment="1">
      <alignment vertical="center"/>
    </xf>
    <xf numFmtId="42" fontId="19" fillId="0" borderId="31" xfId="0" applyNumberFormat="1" applyFont="1" applyBorder="1" applyAlignment="1">
      <alignment vertical="center"/>
    </xf>
    <xf numFmtId="0" fontId="41" fillId="0" borderId="0" xfId="0" applyFont="1" applyAlignment="1">
      <alignment horizontal="right" vertical="center" wrapText="1"/>
    </xf>
    <xf numFmtId="42" fontId="38" fillId="0" borderId="0" xfId="0" applyNumberFormat="1" applyFont="1" applyAlignment="1">
      <alignment horizontal="center" vertical="center" wrapText="1"/>
    </xf>
    <xf numFmtId="17" fontId="0" fillId="0" borderId="0" xfId="0" applyNumberFormat="1"/>
    <xf numFmtId="0" fontId="37" fillId="0" borderId="0" xfId="0" applyFont="1" applyAlignment="1">
      <alignment horizontal="left" vertical="top" wrapText="1"/>
    </xf>
    <xf numFmtId="0" fontId="25" fillId="0" borderId="11" xfId="0" applyFont="1" applyBorder="1" applyAlignment="1">
      <alignment horizontal="center"/>
    </xf>
    <xf numFmtId="17" fontId="0" fillId="0" borderId="11" xfId="0" applyNumberFormat="1" applyBorder="1" applyAlignment="1">
      <alignment horizontal="center" vertical="center" wrapText="1"/>
    </xf>
    <xf numFmtId="42" fontId="0" fillId="0" borderId="11" xfId="0" applyNumberFormat="1" applyBorder="1" applyAlignment="1">
      <alignment horizontal="center" vertical="center" wrapText="1"/>
    </xf>
    <xf numFmtId="0" fontId="51" fillId="0" borderId="0" xfId="0" applyFont="1" applyAlignment="1">
      <alignment horizontal="left" vertical="top" wrapText="1"/>
    </xf>
    <xf numFmtId="0" fontId="0" fillId="0" borderId="0" xfId="0" applyAlignment="1">
      <alignment horizontal="right" vertical="top" wrapText="1"/>
    </xf>
    <xf numFmtId="0" fontId="0" fillId="0" borderId="11" xfId="0" applyBorder="1" applyAlignment="1">
      <alignment horizontal="center" vertical="center" wrapText="1"/>
    </xf>
    <xf numFmtId="41" fontId="38" fillId="0" borderId="0" xfId="0" applyNumberFormat="1" applyFont="1" applyAlignment="1">
      <alignment horizontal="right" vertical="center" wrapText="1"/>
    </xf>
    <xf numFmtId="42" fontId="10" fillId="2" borderId="44" xfId="0" applyNumberFormat="1" applyFont="1" applyFill="1" applyBorder="1"/>
    <xf numFmtId="38" fontId="12" fillId="0" borderId="62" xfId="0" applyNumberFormat="1" applyFont="1" applyBorder="1" applyAlignment="1">
      <alignment horizontal="center"/>
    </xf>
    <xf numFmtId="38" fontId="12" fillId="0" borderId="0" xfId="0" applyNumberFormat="1" applyFont="1"/>
    <xf numFmtId="38" fontId="53" fillId="0" borderId="0" xfId="0" applyNumberFormat="1" applyFont="1"/>
    <xf numFmtId="38" fontId="52" fillId="0" borderId="0" xfId="0" applyNumberFormat="1" applyFont="1"/>
    <xf numFmtId="0" fontId="38" fillId="0" borderId="0" xfId="0" applyFont="1" applyAlignment="1">
      <alignment horizontal="center" vertical="center" wrapText="1"/>
    </xf>
    <xf numFmtId="164" fontId="46" fillId="0" borderId="31" xfId="0" applyNumberFormat="1" applyFont="1" applyBorder="1" applyAlignment="1">
      <alignment horizontal="center" vertical="center"/>
    </xf>
    <xf numFmtId="41" fontId="55" fillId="0" borderId="0" xfId="0" applyNumberFormat="1" applyFont="1" applyAlignment="1">
      <alignment vertical="center"/>
    </xf>
    <xf numFmtId="41" fontId="54" fillId="0" borderId="27" xfId="0" applyNumberFormat="1" applyFont="1" applyBorder="1" applyAlignment="1">
      <alignment vertical="center"/>
    </xf>
    <xf numFmtId="164" fontId="46" fillId="0" borderId="2" xfId="0" applyNumberFormat="1" applyFont="1" applyBorder="1" applyAlignment="1">
      <alignment horizontal="center" vertical="center"/>
    </xf>
    <xf numFmtId="41" fontId="55" fillId="0" borderId="2" xfId="0" applyNumberFormat="1" applyFont="1" applyBorder="1" applyAlignment="1">
      <alignment vertical="center"/>
    </xf>
    <xf numFmtId="0" fontId="55" fillId="0" borderId="0" xfId="0" applyFont="1" applyAlignment="1">
      <alignment vertical="center"/>
    </xf>
    <xf numFmtId="0" fontId="55" fillId="0" borderId="27" xfId="0" applyFont="1" applyBorder="1" applyAlignment="1">
      <alignment vertical="center"/>
    </xf>
    <xf numFmtId="38" fontId="23" fillId="9" borderId="1" xfId="1" applyNumberFormat="1" applyFont="1" applyFill="1" applyBorder="1" applyAlignment="1">
      <alignment horizontal="right"/>
    </xf>
    <xf numFmtId="167" fontId="56" fillId="0" borderId="0" xfId="0" applyNumberFormat="1" applyFont="1"/>
    <xf numFmtId="3" fontId="53" fillId="0" borderId="0" xfId="0" applyNumberFormat="1" applyFont="1"/>
    <xf numFmtId="167" fontId="12" fillId="0" borderId="62" xfId="0" applyNumberFormat="1" applyFont="1" applyBorder="1" applyAlignment="1">
      <alignment horizontal="center"/>
    </xf>
    <xf numFmtId="167" fontId="0" fillId="0" borderId="0" xfId="0" applyNumberFormat="1"/>
    <xf numFmtId="38" fontId="0" fillId="0" borderId="11" xfId="0" applyNumberFormat="1" applyBorder="1"/>
    <xf numFmtId="0" fontId="57" fillId="0" borderId="0" xfId="0" applyFont="1" applyAlignment="1">
      <alignment horizontal="center"/>
    </xf>
    <xf numFmtId="0" fontId="58" fillId="0" borderId="0" xfId="0" applyFont="1"/>
    <xf numFmtId="0" fontId="9" fillId="0" borderId="0" xfId="0" applyFont="1" applyAlignment="1">
      <alignment horizontal="center" vertical="center"/>
    </xf>
    <xf numFmtId="0" fontId="9" fillId="0" borderId="0" xfId="0" applyFont="1" applyAlignment="1">
      <alignment vertical="center"/>
    </xf>
    <xf numFmtId="41" fontId="9" fillId="0" borderId="0" xfId="0" applyNumberFormat="1" applyFont="1" applyAlignment="1">
      <alignment vertical="center"/>
    </xf>
    <xf numFmtId="43" fontId="9" fillId="0" borderId="0" xfId="0" applyNumberFormat="1" applyFont="1" applyAlignment="1">
      <alignment vertical="center"/>
    </xf>
    <xf numFmtId="17" fontId="0" fillId="0" borderId="0" xfId="0" applyNumberFormat="1" applyAlignment="1">
      <alignment horizontal="center" vertical="center" wrapText="1"/>
    </xf>
    <xf numFmtId="0" fontId="0" fillId="0" borderId="0" xfId="0" applyAlignment="1">
      <alignment horizontal="center" vertical="center" wrapText="1"/>
    </xf>
    <xf numFmtId="44" fontId="0" fillId="0" borderId="0" xfId="1" applyFont="1" applyFill="1" applyBorder="1" applyAlignment="1">
      <alignment horizontal="center" vertical="center" wrapText="1"/>
    </xf>
    <xf numFmtId="17" fontId="7" fillId="0" borderId="11" xfId="0" applyNumberFormat="1" applyFont="1" applyBorder="1" applyAlignment="1">
      <alignment horizontal="center" vertical="center" wrapText="1"/>
    </xf>
    <xf numFmtId="0" fontId="7" fillId="0" borderId="11" xfId="0" applyFont="1" applyBorder="1" applyAlignment="1">
      <alignment horizontal="center" vertical="center" wrapText="1"/>
    </xf>
    <xf numFmtId="44" fontId="7" fillId="0" borderId="11" xfId="1" applyFont="1" applyFill="1" applyBorder="1" applyAlignment="1">
      <alignment horizontal="center" vertical="center" wrapText="1"/>
    </xf>
    <xf numFmtId="41" fontId="7" fillId="0" borderId="11" xfId="0" applyNumberFormat="1" applyFont="1" applyBorder="1" applyAlignment="1">
      <alignment horizontal="center" vertical="center" wrapText="1"/>
    </xf>
    <xf numFmtId="42" fontId="38" fillId="0" borderId="0" xfId="0" applyNumberFormat="1" applyFont="1" applyAlignment="1">
      <alignment horizontal="left" vertical="center" wrapText="1"/>
    </xf>
    <xf numFmtId="0" fontId="60" fillId="0" borderId="0" xfId="0" applyFont="1" applyAlignment="1">
      <alignment horizontal="left"/>
    </xf>
    <xf numFmtId="0" fontId="57" fillId="0" borderId="0" xfId="0" applyFont="1"/>
    <xf numFmtId="38" fontId="11" fillId="0" borderId="0" xfId="0" applyNumberFormat="1" applyFont="1" applyAlignment="1">
      <alignment horizontal="right"/>
    </xf>
    <xf numFmtId="3" fontId="53" fillId="2" borderId="0" xfId="0" applyNumberFormat="1" applyFont="1" applyFill="1"/>
    <xf numFmtId="38" fontId="52" fillId="2" borderId="0" xfId="0" applyNumberFormat="1" applyFont="1" applyFill="1"/>
    <xf numFmtId="0" fontId="35" fillId="0" borderId="45" xfId="0" applyFont="1" applyBorder="1" applyAlignment="1">
      <alignment horizontal="center"/>
    </xf>
    <xf numFmtId="38" fontId="35" fillId="0" borderId="45" xfId="0" applyNumberFormat="1" applyFont="1" applyBorder="1" applyAlignment="1">
      <alignment horizontal="center" vertical="center"/>
    </xf>
    <xf numFmtId="0" fontId="35" fillId="0" borderId="46" xfId="0" applyFont="1" applyBorder="1" applyAlignment="1">
      <alignment horizontal="center"/>
    </xf>
    <xf numFmtId="38" fontId="35" fillId="0" borderId="46" xfId="0" applyNumberFormat="1" applyFont="1" applyBorder="1" applyAlignment="1">
      <alignment horizontal="center" vertical="center"/>
    </xf>
    <xf numFmtId="0" fontId="63" fillId="0" borderId="46" xfId="0" applyFont="1" applyBorder="1" applyAlignment="1">
      <alignment horizontal="center"/>
    </xf>
    <xf numFmtId="14" fontId="0" fillId="0" borderId="47" xfId="0" applyNumberFormat="1" applyBorder="1" applyAlignment="1">
      <alignment horizontal="center"/>
    </xf>
    <xf numFmtId="38" fontId="0" fillId="0" borderId="48" xfId="0" applyNumberFormat="1" applyBorder="1" applyAlignment="1">
      <alignment horizontal="center"/>
    </xf>
    <xf numFmtId="38" fontId="0" fillId="0" borderId="47" xfId="0" applyNumberFormat="1" applyBorder="1" applyAlignment="1">
      <alignment horizontal="center"/>
    </xf>
    <xf numFmtId="14" fontId="0" fillId="0" borderId="61" xfId="0" applyNumberFormat="1" applyBorder="1" applyAlignment="1">
      <alignment horizontal="center"/>
    </xf>
    <xf numFmtId="38" fontId="0" fillId="0" borderId="61" xfId="0" applyNumberFormat="1" applyBorder="1" applyAlignment="1">
      <alignment horizontal="center"/>
    </xf>
    <xf numFmtId="38" fontId="0" fillId="0" borderId="57" xfId="0" applyNumberFormat="1" applyBorder="1" applyAlignment="1">
      <alignment horizontal="center"/>
    </xf>
    <xf numFmtId="38" fontId="0" fillId="0" borderId="49" xfId="0" applyNumberFormat="1" applyBorder="1" applyAlignment="1">
      <alignment horizontal="center"/>
    </xf>
    <xf numFmtId="0" fontId="35" fillId="0" borderId="44" xfId="0" applyFont="1" applyBorder="1" applyAlignment="1">
      <alignment horizontal="center" vertical="center"/>
    </xf>
    <xf numFmtId="38" fontId="35" fillId="0" borderId="44" xfId="0" applyNumberFormat="1" applyFont="1" applyBorder="1" applyAlignment="1">
      <alignment horizontal="center" vertical="center"/>
    </xf>
    <xf numFmtId="14" fontId="0" fillId="0" borderId="48" xfId="0" applyNumberFormat="1" applyBorder="1" applyAlignment="1">
      <alignment horizontal="center"/>
    </xf>
    <xf numFmtId="14" fontId="0" fillId="0" borderId="63" xfId="0" applyNumberFormat="1" applyBorder="1" applyAlignment="1">
      <alignment horizontal="center"/>
    </xf>
    <xf numFmtId="38" fontId="0" fillId="0" borderId="63" xfId="0" applyNumberFormat="1" applyBorder="1" applyAlignment="1">
      <alignment horizontal="center"/>
    </xf>
    <xf numFmtId="38" fontId="0" fillId="0" borderId="46" xfId="0" applyNumberFormat="1" applyBorder="1" applyAlignment="1">
      <alignment horizontal="center"/>
    </xf>
    <xf numFmtId="0" fontId="35" fillId="0" borderId="0" xfId="0" applyFont="1" applyAlignment="1">
      <alignment horizontal="center"/>
    </xf>
    <xf numFmtId="38" fontId="35" fillId="0" borderId="28" xfId="0" applyNumberFormat="1" applyFont="1" applyBorder="1" applyAlignment="1">
      <alignment horizontal="center"/>
    </xf>
    <xf numFmtId="38" fontId="0" fillId="0" borderId="64" xfId="0" applyNumberFormat="1" applyBorder="1" applyAlignment="1">
      <alignment horizontal="center" vertical="center"/>
    </xf>
    <xf numFmtId="38" fontId="0" fillId="0" borderId="8" xfId="0" applyNumberFormat="1" applyBorder="1" applyAlignment="1">
      <alignment horizontal="center" vertical="center"/>
    </xf>
    <xf numFmtId="38" fontId="0" fillId="0" borderId="8" xfId="0" applyNumberFormat="1" applyBorder="1" applyAlignment="1">
      <alignment horizontal="center"/>
    </xf>
    <xf numFmtId="38" fontId="0" fillId="0" borderId="1" xfId="0" applyNumberFormat="1" applyBorder="1" applyAlignment="1">
      <alignment horizontal="center" vertical="center"/>
    </xf>
    <xf numFmtId="38" fontId="0" fillId="0" borderId="9" xfId="0" applyNumberFormat="1" applyBorder="1" applyAlignment="1">
      <alignment horizontal="center" vertical="center"/>
    </xf>
    <xf numFmtId="38" fontId="0" fillId="0" borderId="9" xfId="0" applyNumberFormat="1" applyBorder="1" applyAlignment="1">
      <alignment horizontal="center"/>
    </xf>
    <xf numFmtId="38" fontId="0" fillId="0" borderId="4" xfId="0" applyNumberFormat="1" applyBorder="1" applyAlignment="1">
      <alignment horizontal="center" vertical="center"/>
    </xf>
    <xf numFmtId="38" fontId="0" fillId="0" borderId="10" xfId="0" applyNumberFormat="1" applyBorder="1" applyAlignment="1">
      <alignment horizontal="center" vertical="center"/>
    </xf>
    <xf numFmtId="38" fontId="0" fillId="0" borderId="65" xfId="0" applyNumberFormat="1" applyBorder="1" applyAlignment="1">
      <alignment horizontal="center" vertical="center"/>
    </xf>
    <xf numFmtId="38" fontId="0" fillId="0" borderId="10" xfId="0" applyNumberFormat="1" applyBorder="1" applyAlignment="1">
      <alignment horizontal="center"/>
    </xf>
    <xf numFmtId="0" fontId="64" fillId="0" borderId="0" xfId="0" applyFont="1"/>
    <xf numFmtId="168" fontId="0" fillId="0" borderId="11" xfId="1" applyNumberFormat="1" applyFont="1" applyBorder="1"/>
    <xf numFmtId="38" fontId="25" fillId="0" borderId="11" xfId="0" applyNumberFormat="1" applyFont="1" applyBorder="1"/>
    <xf numFmtId="168" fontId="25" fillId="0" borderId="11" xfId="1" applyNumberFormat="1" applyFont="1" applyBorder="1"/>
    <xf numFmtId="168" fontId="25" fillId="0" borderId="11" xfId="0" applyNumberFormat="1" applyFont="1" applyBorder="1"/>
    <xf numFmtId="43" fontId="19" fillId="0" borderId="0" xfId="0" applyNumberFormat="1" applyFont="1" applyAlignment="1">
      <alignment vertical="center"/>
    </xf>
    <xf numFmtId="42" fontId="0" fillId="0" borderId="11" xfId="0" applyNumberFormat="1" applyBorder="1"/>
    <xf numFmtId="44" fontId="52" fillId="0" borderId="11" xfId="1" applyFont="1" applyFill="1" applyBorder="1" applyAlignment="1">
      <alignment horizontal="center" vertical="center" wrapText="1"/>
    </xf>
    <xf numFmtId="41" fontId="0" fillId="0" borderId="11" xfId="1" applyNumberFormat="1" applyFont="1" applyBorder="1"/>
    <xf numFmtId="0" fontId="9" fillId="0" borderId="30" xfId="0" applyFont="1" applyBorder="1" applyAlignment="1">
      <alignment vertical="center"/>
    </xf>
    <xf numFmtId="7" fontId="19" fillId="0" borderId="19" xfId="0" applyNumberFormat="1" applyFont="1" applyBorder="1" applyAlignment="1">
      <alignment vertical="center"/>
    </xf>
    <xf numFmtId="7" fontId="19" fillId="0" borderId="0" xfId="0" applyNumberFormat="1" applyFont="1" applyAlignment="1">
      <alignment vertical="center"/>
    </xf>
    <xf numFmtId="38" fontId="0" fillId="0" borderId="31" xfId="0" applyNumberFormat="1" applyBorder="1" applyAlignment="1">
      <alignment horizontal="right"/>
    </xf>
    <xf numFmtId="0" fontId="25" fillId="0" borderId="11" xfId="0" applyFont="1" applyBorder="1" applyAlignment="1">
      <alignment horizontal="center" vertical="center"/>
    </xf>
    <xf numFmtId="40" fontId="25" fillId="0" borderId="11" xfId="0" applyNumberFormat="1" applyFont="1" applyBorder="1" applyAlignment="1">
      <alignment horizontal="center" vertical="center" wrapText="1"/>
    </xf>
    <xf numFmtId="0" fontId="25" fillId="0" borderId="11" xfId="0" applyFont="1" applyBorder="1" applyAlignment="1">
      <alignment horizontal="center" vertical="center" wrapText="1"/>
    </xf>
    <xf numFmtId="49" fontId="57" fillId="0" borderId="0" xfId="0" applyNumberFormat="1" applyFont="1" applyAlignment="1">
      <alignment horizontal="center"/>
    </xf>
    <xf numFmtId="3" fontId="9" fillId="0" borderId="0" xfId="0" applyNumberFormat="1" applyFont="1"/>
    <xf numFmtId="3" fontId="0" fillId="0" borderId="0" xfId="0" applyNumberFormat="1" applyAlignment="1">
      <alignment horizontal="right"/>
    </xf>
    <xf numFmtId="3" fontId="21" fillId="0" borderId="0" xfId="0" applyNumberFormat="1" applyFont="1" applyAlignment="1">
      <alignment horizontal="center"/>
    </xf>
    <xf numFmtId="3" fontId="23" fillId="6" borderId="36" xfId="0" applyNumberFormat="1" applyFont="1" applyFill="1" applyBorder="1" applyAlignment="1">
      <alignment horizontal="right"/>
    </xf>
    <xf numFmtId="3" fontId="23" fillId="6" borderId="17" xfId="1" applyNumberFormat="1" applyFont="1" applyFill="1" applyBorder="1" applyAlignment="1">
      <alignment horizontal="right"/>
    </xf>
    <xf numFmtId="3" fontId="22" fillId="0" borderId="0" xfId="1" applyNumberFormat="1" applyFont="1" applyBorder="1" applyAlignment="1">
      <alignment horizontal="right"/>
    </xf>
    <xf numFmtId="3" fontId="23" fillId="7" borderId="36" xfId="1" applyNumberFormat="1" applyFont="1" applyFill="1" applyBorder="1" applyAlignment="1">
      <alignment horizontal="right"/>
    </xf>
    <xf numFmtId="3" fontId="23" fillId="7" borderId="17" xfId="1" applyNumberFormat="1" applyFont="1" applyFill="1" applyBorder="1" applyAlignment="1">
      <alignment horizontal="right"/>
    </xf>
    <xf numFmtId="3" fontId="22" fillId="7" borderId="21" xfId="1" applyNumberFormat="1" applyFont="1" applyFill="1" applyBorder="1" applyAlignment="1">
      <alignment horizontal="right"/>
    </xf>
    <xf numFmtId="3" fontId="22" fillId="0" borderId="0" xfId="1" applyNumberFormat="1" applyFont="1" applyFill="1" applyBorder="1" applyAlignment="1">
      <alignment horizontal="right"/>
    </xf>
    <xf numFmtId="3" fontId="23" fillId="10" borderId="36" xfId="1" applyNumberFormat="1" applyFont="1" applyFill="1" applyBorder="1" applyAlignment="1">
      <alignment horizontal="right"/>
    </xf>
    <xf numFmtId="3" fontId="23" fillId="10" borderId="17" xfId="1" applyNumberFormat="1" applyFont="1" applyFill="1" applyBorder="1" applyAlignment="1">
      <alignment horizontal="right"/>
    </xf>
    <xf numFmtId="3" fontId="22" fillId="10" borderId="21" xfId="1" applyNumberFormat="1" applyFont="1" applyFill="1" applyBorder="1" applyAlignment="1">
      <alignment horizontal="right"/>
    </xf>
    <xf numFmtId="3" fontId="23" fillId="8" borderId="17" xfId="1" applyNumberFormat="1" applyFont="1" applyFill="1" applyBorder="1" applyAlignment="1">
      <alignment horizontal="right"/>
    </xf>
    <xf numFmtId="3" fontId="22" fillId="8" borderId="21" xfId="1" applyNumberFormat="1" applyFont="1" applyFill="1" applyBorder="1" applyAlignment="1">
      <alignment horizontal="right"/>
    </xf>
    <xf numFmtId="3" fontId="22" fillId="8" borderId="36" xfId="1" applyNumberFormat="1" applyFont="1" applyFill="1" applyBorder="1" applyAlignment="1">
      <alignment horizontal="right"/>
    </xf>
    <xf numFmtId="3" fontId="9" fillId="0" borderId="0" xfId="1" applyNumberFormat="1" applyFont="1" applyBorder="1" applyAlignment="1">
      <alignment horizontal="right"/>
    </xf>
    <xf numFmtId="3" fontId="0" fillId="9" borderId="36" xfId="0" applyNumberFormat="1" applyFill="1" applyBorder="1" applyAlignment="1">
      <alignment horizontal="center"/>
    </xf>
    <xf numFmtId="3" fontId="22" fillId="9" borderId="17" xfId="1" applyNumberFormat="1" applyFont="1" applyFill="1" applyBorder="1" applyAlignment="1">
      <alignment horizontal="right"/>
    </xf>
    <xf numFmtId="3" fontId="22" fillId="11" borderId="41" xfId="1" applyNumberFormat="1" applyFont="1" applyFill="1" applyBorder="1" applyAlignment="1">
      <alignment horizontal="right"/>
    </xf>
    <xf numFmtId="3" fontId="22" fillId="11" borderId="29" xfId="1" applyNumberFormat="1" applyFont="1" applyFill="1" applyBorder="1" applyAlignment="1">
      <alignment horizontal="right"/>
    </xf>
    <xf numFmtId="3" fontId="22" fillId="11" borderId="43" xfId="1" applyNumberFormat="1" applyFont="1" applyFill="1" applyBorder="1" applyAlignment="1">
      <alignment horizontal="right"/>
    </xf>
    <xf numFmtId="3" fontId="22" fillId="11" borderId="40" xfId="1" applyNumberFormat="1" applyFont="1" applyFill="1" applyBorder="1" applyAlignment="1">
      <alignment horizontal="right"/>
    </xf>
    <xf numFmtId="3" fontId="22" fillId="13" borderId="42" xfId="1" applyNumberFormat="1" applyFont="1" applyFill="1" applyBorder="1" applyAlignment="1">
      <alignment horizontal="right"/>
    </xf>
    <xf numFmtId="3" fontId="22" fillId="12" borderId="42" xfId="1" applyNumberFormat="1" applyFont="1" applyFill="1" applyBorder="1" applyAlignment="1">
      <alignment horizontal="right"/>
    </xf>
    <xf numFmtId="49" fontId="22" fillId="0" borderId="0" xfId="0" applyNumberFormat="1" applyFont="1" applyAlignment="1">
      <alignment vertical="center"/>
    </xf>
    <xf numFmtId="44" fontId="10" fillId="0" borderId="0" xfId="0" applyNumberFormat="1" applyFont="1"/>
    <xf numFmtId="43" fontId="0" fillId="0" borderId="27" xfId="0" applyNumberFormat="1" applyBorder="1" applyAlignment="1">
      <alignment vertical="center"/>
    </xf>
    <xf numFmtId="6" fontId="38" fillId="0" borderId="0" xfId="0" applyNumberFormat="1" applyFont="1" applyAlignment="1">
      <alignment horizontal="center" wrapText="1"/>
    </xf>
    <xf numFmtId="0" fontId="37" fillId="0" borderId="0" xfId="0" applyFont="1" applyAlignment="1">
      <alignment horizontal="left" wrapText="1"/>
    </xf>
    <xf numFmtId="40" fontId="65" fillId="0" borderId="45" xfId="0" applyNumberFormat="1" applyFont="1" applyBorder="1" applyAlignment="1">
      <alignment horizontal="center"/>
    </xf>
    <xf numFmtId="165" fontId="23" fillId="0" borderId="27" xfId="0" applyNumberFormat="1" applyFont="1" applyBorder="1" applyAlignment="1">
      <alignment horizontal="center"/>
    </xf>
    <xf numFmtId="164" fontId="38" fillId="0" borderId="0" xfId="0" applyNumberFormat="1" applyFont="1" applyAlignment="1">
      <alignment horizontal="center" wrapText="1"/>
    </xf>
    <xf numFmtId="164" fontId="38" fillId="0" borderId="31" xfId="0" applyNumberFormat="1" applyFont="1" applyBorder="1" applyAlignment="1">
      <alignment horizontal="center" wrapText="1"/>
    </xf>
    <xf numFmtId="0" fontId="22" fillId="0" borderId="0" xfId="0" applyFont="1" applyAlignment="1">
      <alignment horizontal="right" vertical="center"/>
    </xf>
    <xf numFmtId="164" fontId="8" fillId="0" borderId="0" xfId="0" applyNumberFormat="1" applyFont="1" applyAlignment="1">
      <alignment horizontal="right" vertical="center"/>
    </xf>
    <xf numFmtId="6" fontId="22" fillId="0" borderId="0" xfId="0" applyNumberFormat="1" applyFont="1"/>
    <xf numFmtId="6" fontId="22" fillId="0" borderId="0" xfId="0" applyNumberFormat="1" applyFont="1" applyAlignment="1">
      <alignment horizontal="center" vertical="center"/>
    </xf>
    <xf numFmtId="6" fontId="8" fillId="0" borderId="0" xfId="1" applyNumberFormat="1" applyFont="1" applyFill="1" applyBorder="1" applyAlignment="1">
      <alignment horizontal="right"/>
    </xf>
    <xf numFmtId="169" fontId="8" fillId="0" borderId="0" xfId="1" applyNumberFormat="1" applyFont="1" applyFill="1" applyBorder="1" applyAlignment="1">
      <alignment horizontal="right"/>
    </xf>
    <xf numFmtId="0" fontId="38" fillId="0" borderId="0" xfId="0" applyFont="1" applyAlignment="1">
      <alignment horizontal="left" wrapText="1"/>
    </xf>
    <xf numFmtId="10" fontId="0" fillId="0" borderId="0" xfId="0" applyNumberFormat="1" applyAlignment="1">
      <alignment horizontal="center"/>
    </xf>
    <xf numFmtId="14" fontId="0" fillId="0" borderId="0" xfId="0" applyNumberFormat="1"/>
    <xf numFmtId="38" fontId="0" fillId="0" borderId="3" xfId="0" applyNumberFormat="1" applyBorder="1"/>
    <xf numFmtId="10" fontId="0" fillId="0" borderId="3" xfId="0" applyNumberFormat="1" applyBorder="1" applyAlignment="1">
      <alignment horizontal="center"/>
    </xf>
    <xf numFmtId="6" fontId="0" fillId="0" borderId="31" xfId="0" applyNumberFormat="1" applyBorder="1"/>
    <xf numFmtId="44" fontId="0" fillId="0" borderId="0" xfId="0" applyNumberFormat="1"/>
    <xf numFmtId="9" fontId="0" fillId="0" borderId="11" xfId="4" applyFont="1" applyBorder="1" applyAlignment="1">
      <alignment horizontal="center"/>
    </xf>
    <xf numFmtId="9" fontId="25" fillId="0" borderId="11" xfId="0" applyNumberFormat="1" applyFont="1" applyBorder="1" applyAlignment="1">
      <alignment horizontal="center"/>
    </xf>
    <xf numFmtId="37" fontId="0" fillId="0" borderId="11" xfId="1" applyNumberFormat="1" applyFont="1" applyBorder="1"/>
    <xf numFmtId="43" fontId="55" fillId="0" borderId="0" xfId="0" applyNumberFormat="1" applyFont="1" applyAlignment="1">
      <alignment vertical="center"/>
    </xf>
    <xf numFmtId="41" fontId="55" fillId="0" borderId="0" xfId="0" applyNumberFormat="1" applyFont="1" applyAlignment="1">
      <alignment horizontal="right" vertical="center"/>
    </xf>
    <xf numFmtId="2" fontId="0" fillId="0" borderId="0" xfId="0" applyNumberFormat="1"/>
    <xf numFmtId="38" fontId="33" fillId="0" borderId="45" xfId="1" applyNumberFormat="1" applyFont="1" applyFill="1" applyBorder="1" applyAlignment="1"/>
    <xf numFmtId="40" fontId="0" fillId="0" borderId="0" xfId="0" applyNumberFormat="1" applyAlignment="1">
      <alignment vertical="center"/>
    </xf>
    <xf numFmtId="4" fontId="0" fillId="0" borderId="0" xfId="0" applyNumberFormat="1" applyAlignment="1">
      <alignment vertical="center"/>
    </xf>
    <xf numFmtId="41" fontId="15" fillId="0" borderId="6" xfId="0" applyNumberFormat="1" applyFont="1" applyBorder="1" applyAlignment="1">
      <alignment vertical="center"/>
    </xf>
    <xf numFmtId="4" fontId="27" fillId="0" borderId="0" xfId="0" applyNumberFormat="1" applyFont="1"/>
    <xf numFmtId="4" fontId="27" fillId="0" borderId="0" xfId="0" applyNumberFormat="1" applyFont="1" applyAlignment="1">
      <alignment horizontal="center" vertical="center"/>
    </xf>
    <xf numFmtId="4" fontId="27" fillId="0" borderId="0" xfId="0" applyNumberFormat="1" applyFont="1" applyAlignment="1">
      <alignment vertical="center"/>
    </xf>
    <xf numFmtId="169" fontId="22" fillId="6" borderId="21" xfId="1" applyNumberFormat="1" applyFont="1" applyFill="1" applyBorder="1" applyAlignment="1">
      <alignment horizontal="right"/>
    </xf>
    <xf numFmtId="41" fontId="0" fillId="0" borderId="45" xfId="1" applyNumberFormat="1" applyFont="1" applyFill="1" applyBorder="1" applyAlignment="1"/>
    <xf numFmtId="0" fontId="25" fillId="0" borderId="11" xfId="0" applyFont="1" applyBorder="1" applyAlignment="1">
      <alignment horizontal="center" vertical="top" wrapText="1"/>
    </xf>
    <xf numFmtId="49" fontId="19" fillId="0" borderId="0" xfId="0" applyNumberFormat="1" applyFont="1" applyAlignment="1">
      <alignment horizontal="left" vertical="center"/>
    </xf>
    <xf numFmtId="165" fontId="23" fillId="0" borderId="27" xfId="0" applyNumberFormat="1" applyFont="1" applyBorder="1" applyAlignment="1">
      <alignment horizontal="center" vertical="center" wrapText="1"/>
    </xf>
    <xf numFmtId="42" fontId="23" fillId="0" borderId="27" xfId="0" applyNumberFormat="1" applyFont="1" applyBorder="1" applyAlignment="1">
      <alignment horizontal="center" vertical="center" wrapText="1"/>
    </xf>
    <xf numFmtId="3" fontId="56" fillId="0" borderId="0" xfId="0" applyNumberFormat="1" applyFont="1"/>
    <xf numFmtId="3" fontId="52" fillId="0" borderId="0" xfId="0" applyNumberFormat="1" applyFont="1"/>
    <xf numFmtId="37" fontId="37" fillId="0" borderId="0" xfId="0" applyNumberFormat="1" applyFont="1" applyAlignment="1">
      <alignment horizontal="center" vertical="center" wrapText="1"/>
    </xf>
    <xf numFmtId="41" fontId="27" fillId="0" borderId="6" xfId="0" applyNumberFormat="1" applyFont="1" applyBorder="1" applyAlignment="1">
      <alignment vertical="center"/>
    </xf>
    <xf numFmtId="164" fontId="46" fillId="0" borderId="6" xfId="0" applyNumberFormat="1" applyFont="1" applyBorder="1" applyAlignment="1">
      <alignment horizontal="center" vertical="center"/>
    </xf>
    <xf numFmtId="38" fontId="27" fillId="0" borderId="0" xfId="0" applyNumberFormat="1" applyFont="1" applyAlignment="1">
      <alignment vertical="center"/>
    </xf>
    <xf numFmtId="38" fontId="19" fillId="0" borderId="2" xfId="0" applyNumberFormat="1" applyFont="1" applyBorder="1" applyAlignment="1">
      <alignment vertical="center"/>
    </xf>
    <xf numFmtId="49" fontId="21" fillId="0" borderId="0" xfId="0" applyNumberFormat="1" applyFont="1" applyAlignment="1">
      <alignment horizontal="left" vertical="center"/>
    </xf>
    <xf numFmtId="41" fontId="55" fillId="0" borderId="6" xfId="0" applyNumberFormat="1" applyFont="1" applyBorder="1" applyAlignment="1">
      <alignment vertical="center"/>
    </xf>
    <xf numFmtId="41" fontId="15" fillId="0" borderId="31" xfId="0" applyNumberFormat="1" applyFont="1" applyBorder="1" applyAlignment="1">
      <alignment vertical="center"/>
    </xf>
    <xf numFmtId="49" fontId="23" fillId="0" borderId="0" xfId="0" applyNumberFormat="1" applyFont="1" applyAlignment="1">
      <alignment vertical="center"/>
    </xf>
    <xf numFmtId="0" fontId="23" fillId="0" borderId="0" xfId="0" applyFont="1"/>
    <xf numFmtId="38" fontId="0" fillId="0" borderId="0" xfId="1" applyNumberFormat="1" applyFont="1" applyFill="1" applyBorder="1" applyAlignment="1"/>
    <xf numFmtId="40" fontId="7" fillId="3" borderId="33" xfId="0" applyNumberFormat="1" applyFont="1" applyFill="1" applyBorder="1" applyAlignment="1">
      <alignment horizontal="center" vertical="center" wrapText="1"/>
    </xf>
    <xf numFmtId="41" fontId="0" fillId="0" borderId="2" xfId="1" applyNumberFormat="1" applyFont="1" applyFill="1" applyBorder="1" applyAlignment="1"/>
    <xf numFmtId="10" fontId="19" fillId="0" borderId="0" xfId="0" applyNumberFormat="1" applyFont="1" applyAlignment="1">
      <alignment vertical="center"/>
    </xf>
    <xf numFmtId="0" fontId="0" fillId="0" borderId="45" xfId="0" applyBorder="1"/>
    <xf numFmtId="14" fontId="0" fillId="0" borderId="45" xfId="0" applyNumberFormat="1" applyBorder="1" applyAlignment="1">
      <alignment horizontal="center"/>
    </xf>
    <xf numFmtId="40" fontId="7" fillId="0" borderId="42" xfId="0" applyNumberFormat="1" applyFont="1" applyBorder="1" applyAlignment="1">
      <alignment horizontal="center"/>
    </xf>
    <xf numFmtId="38" fontId="0" fillId="0" borderId="45" xfId="1" applyNumberFormat="1" applyFont="1" applyFill="1" applyBorder="1" applyAlignment="1"/>
    <xf numFmtId="0" fontId="0" fillId="0" borderId="16" xfId="0" applyBorder="1" applyAlignment="1">
      <alignment horizontal="left"/>
    </xf>
    <xf numFmtId="0" fontId="0" fillId="0" borderId="0" xfId="0" applyAlignment="1">
      <alignment horizontal="left"/>
    </xf>
    <xf numFmtId="0" fontId="0" fillId="0" borderId="29" xfId="0" applyBorder="1" applyAlignment="1">
      <alignment horizontal="left"/>
    </xf>
    <xf numFmtId="170" fontId="0" fillId="0" borderId="0" xfId="1" applyNumberFormat="1" applyFont="1" applyFill="1" applyBorder="1" applyAlignment="1"/>
    <xf numFmtId="10" fontId="0" fillId="0" borderId="0" xfId="1" applyNumberFormat="1" applyFont="1" applyFill="1" applyBorder="1" applyAlignment="1"/>
    <xf numFmtId="42" fontId="7" fillId="3" borderId="67" xfId="0" applyNumberFormat="1" applyFont="1" applyFill="1" applyBorder="1"/>
    <xf numFmtId="42" fontId="0" fillId="0" borderId="0" xfId="0" applyNumberFormat="1" applyAlignment="1">
      <alignment horizontal="left" vertical="top" wrapText="1"/>
    </xf>
    <xf numFmtId="42" fontId="19" fillId="0" borderId="27" xfId="0" applyNumberFormat="1" applyFont="1" applyBorder="1" applyAlignment="1">
      <alignment horizontal="center" vertical="center" wrapText="1"/>
    </xf>
    <xf numFmtId="165" fontId="19" fillId="0" borderId="27" xfId="0" applyNumberFormat="1" applyFont="1" applyBorder="1" applyAlignment="1">
      <alignment horizontal="center" vertical="center" wrapText="1"/>
    </xf>
    <xf numFmtId="49" fontId="15" fillId="0" borderId="0" xfId="0" quotePrefix="1" applyNumberFormat="1" applyFont="1" applyAlignment="1">
      <alignment vertical="center"/>
    </xf>
    <xf numFmtId="49" fontId="67" fillId="14" borderId="34" xfId="0" applyNumberFormat="1" applyFont="1" applyFill="1" applyBorder="1" applyAlignment="1">
      <alignment vertical="center"/>
    </xf>
    <xf numFmtId="49" fontId="67" fillId="14" borderId="28" xfId="0" applyNumberFormat="1" applyFont="1" applyFill="1" applyBorder="1" applyAlignment="1">
      <alignment vertical="center"/>
    </xf>
    <xf numFmtId="6" fontId="67" fillId="14" borderId="8" xfId="1" applyNumberFormat="1" applyFont="1" applyFill="1" applyBorder="1" applyAlignment="1">
      <alignment horizontal="right"/>
    </xf>
    <xf numFmtId="38" fontId="67" fillId="14" borderId="41" xfId="1" applyNumberFormat="1" applyFont="1" applyFill="1" applyBorder="1" applyAlignment="1">
      <alignment horizontal="right"/>
    </xf>
    <xf numFmtId="38" fontId="67" fillId="14" borderId="8" xfId="1" applyNumberFormat="1" applyFont="1" applyFill="1" applyBorder="1" applyAlignment="1">
      <alignment horizontal="right"/>
    </xf>
    <xf numFmtId="10" fontId="27" fillId="0" borderId="0" xfId="0" applyNumberFormat="1" applyFont="1" applyAlignment="1">
      <alignment vertical="center"/>
    </xf>
    <xf numFmtId="0" fontId="7" fillId="3" borderId="33" xfId="0" applyFont="1" applyFill="1" applyBorder="1" applyAlignment="1">
      <alignment horizontal="center" vertical="center"/>
    </xf>
    <xf numFmtId="41" fontId="19" fillId="2" borderId="0" xfId="0" applyNumberFormat="1" applyFont="1" applyFill="1" applyAlignment="1">
      <alignment vertical="center"/>
    </xf>
    <xf numFmtId="49" fontId="15" fillId="0" borderId="33" xfId="0" applyNumberFormat="1" applyFont="1" applyBorder="1" applyAlignment="1">
      <alignment vertical="center"/>
    </xf>
    <xf numFmtId="42" fontId="23" fillId="0" borderId="33" xfId="0" applyNumberFormat="1" applyFont="1" applyBorder="1" applyAlignment="1">
      <alignment horizontal="center" vertical="center" wrapText="1"/>
    </xf>
    <xf numFmtId="49" fontId="23" fillId="0" borderId="0" xfId="0" applyNumberFormat="1" applyFont="1" applyAlignment="1">
      <alignment horizontal="left" vertical="center"/>
    </xf>
    <xf numFmtId="49" fontId="22" fillId="0" borderId="30" xfId="0" applyNumberFormat="1" applyFont="1" applyBorder="1" applyAlignment="1">
      <alignment horizontal="left" vertical="center"/>
    </xf>
    <xf numFmtId="0" fontId="0" fillId="0" borderId="30" xfId="0" applyBorder="1"/>
    <xf numFmtId="41" fontId="15" fillId="0" borderId="30" xfId="0" applyNumberFormat="1" applyFont="1" applyBorder="1" applyAlignment="1">
      <alignment vertical="center"/>
    </xf>
    <xf numFmtId="0" fontId="15" fillId="0" borderId="0" xfId="0" applyFont="1"/>
    <xf numFmtId="0" fontId="6" fillId="0" borderId="0" xfId="0" applyFont="1"/>
    <xf numFmtId="0" fontId="21" fillId="0" borderId="0" xfId="0" applyFont="1"/>
    <xf numFmtId="49" fontId="19" fillId="2" borderId="0" xfId="0" applyNumberFormat="1" applyFont="1" applyFill="1" applyAlignment="1">
      <alignment vertical="center"/>
    </xf>
    <xf numFmtId="49" fontId="15" fillId="2" borderId="0" xfId="0" applyNumberFormat="1" applyFont="1" applyFill="1" applyAlignment="1">
      <alignment vertical="center"/>
    </xf>
    <xf numFmtId="40" fontId="0" fillId="0" borderId="0" xfId="0" applyNumberFormat="1" applyAlignment="1">
      <alignment horizontal="center" vertical="center"/>
    </xf>
    <xf numFmtId="40" fontId="9" fillId="0" borderId="0" xfId="0" applyNumberFormat="1" applyFont="1" applyAlignment="1">
      <alignment horizontal="center" vertical="center"/>
    </xf>
    <xf numFmtId="0" fontId="18" fillId="0" borderId="55" xfId="0" applyFont="1" applyBorder="1" applyAlignment="1">
      <alignment vertical="center"/>
    </xf>
    <xf numFmtId="40" fontId="18" fillId="0" borderId="0" xfId="0" applyNumberFormat="1" applyFont="1" applyAlignment="1">
      <alignment vertical="center"/>
    </xf>
    <xf numFmtId="40" fontId="9" fillId="0" borderId="0" xfId="0" applyNumberFormat="1" applyFont="1" applyAlignment="1">
      <alignment vertical="center"/>
    </xf>
    <xf numFmtId="6" fontId="19" fillId="0" borderId="0" xfId="0" applyNumberFormat="1" applyFont="1" applyAlignment="1">
      <alignment horizontal="right" vertical="center"/>
    </xf>
    <xf numFmtId="171" fontId="19" fillId="0" borderId="19" xfId="0" applyNumberFormat="1" applyFont="1" applyBorder="1" applyAlignment="1">
      <alignment vertical="center"/>
    </xf>
    <xf numFmtId="171" fontId="19" fillId="0" borderId="0" xfId="0" applyNumberFormat="1" applyFont="1" applyAlignment="1">
      <alignment vertical="center"/>
    </xf>
    <xf numFmtId="49" fontId="69" fillId="0" borderId="0" xfId="0" applyNumberFormat="1" applyFont="1" applyAlignment="1">
      <alignment vertical="center"/>
    </xf>
    <xf numFmtId="5" fontId="15" fillId="0" borderId="0" xfId="0" applyNumberFormat="1" applyFont="1" applyAlignment="1">
      <alignment vertical="center"/>
    </xf>
    <xf numFmtId="5" fontId="15" fillId="0" borderId="31" xfId="0" applyNumberFormat="1" applyFont="1" applyBorder="1" applyAlignment="1">
      <alignment vertical="center"/>
    </xf>
    <xf numFmtId="3" fontId="15" fillId="0" borderId="0" xfId="0" applyNumberFormat="1" applyFont="1" applyAlignment="1">
      <alignment vertical="center"/>
    </xf>
    <xf numFmtId="37" fontId="15" fillId="0" borderId="0" xfId="0" applyNumberFormat="1" applyFont="1" applyAlignment="1">
      <alignment vertical="center"/>
    </xf>
    <xf numFmtId="8" fontId="15" fillId="0" borderId="0" xfId="0" applyNumberFormat="1" applyFont="1" applyAlignment="1">
      <alignment vertical="center"/>
    </xf>
    <xf numFmtId="40" fontId="16" fillId="0" borderId="0" xfId="0" applyNumberFormat="1" applyFont="1" applyAlignment="1">
      <alignment vertical="center"/>
    </xf>
    <xf numFmtId="41" fontId="70" fillId="0" borderId="0" xfId="0" applyNumberFormat="1" applyFont="1"/>
    <xf numFmtId="38" fontId="70" fillId="0" borderId="0" xfId="0" applyNumberFormat="1" applyFont="1"/>
    <xf numFmtId="8" fontId="70" fillId="0" borderId="0" xfId="0" applyNumberFormat="1" applyFont="1"/>
    <xf numFmtId="0" fontId="7" fillId="3" borderId="42" xfId="0" applyFont="1" applyFill="1" applyBorder="1" applyAlignment="1">
      <alignment horizontal="center" vertical="center"/>
    </xf>
    <xf numFmtId="0" fontId="15" fillId="0" borderId="0" xfId="0" applyFont="1" applyAlignment="1">
      <alignment horizontal="left" vertical="center"/>
    </xf>
    <xf numFmtId="0" fontId="0" fillId="0" borderId="0" xfId="0" applyAlignment="1">
      <alignment horizontal="left" vertical="center"/>
    </xf>
    <xf numFmtId="0" fontId="0" fillId="0" borderId="16" xfId="0" applyBorder="1"/>
    <xf numFmtId="0" fontId="0" fillId="0" borderId="24" xfId="0" applyBorder="1"/>
    <xf numFmtId="0" fontId="0" fillId="0" borderId="35" xfId="0" applyBorder="1"/>
    <xf numFmtId="0" fontId="0" fillId="0" borderId="48" xfId="0" applyBorder="1" applyAlignment="1">
      <alignment horizontal="left"/>
    </xf>
    <xf numFmtId="14" fontId="0" fillId="0" borderId="29" xfId="0" applyNumberFormat="1" applyBorder="1" applyAlignment="1">
      <alignment horizontal="center"/>
    </xf>
    <xf numFmtId="40" fontId="7" fillId="3" borderId="32" xfId="0" applyNumberFormat="1" applyFont="1" applyFill="1" applyBorder="1" applyAlignment="1">
      <alignment horizontal="center" vertical="center" wrapText="1"/>
    </xf>
    <xf numFmtId="41" fontId="0" fillId="0" borderId="16" xfId="1" applyNumberFormat="1" applyFont="1" applyFill="1" applyBorder="1" applyAlignment="1"/>
    <xf numFmtId="40" fontId="7" fillId="3" borderId="42" xfId="0" applyNumberFormat="1" applyFont="1" applyFill="1" applyBorder="1" applyAlignment="1">
      <alignment horizontal="center" vertical="center" wrapText="1"/>
    </xf>
    <xf numFmtId="3" fontId="52" fillId="0" borderId="11" xfId="1" applyNumberFormat="1" applyFont="1" applyFill="1" applyBorder="1" applyAlignment="1">
      <alignment horizontal="center" vertical="center" wrapText="1"/>
    </xf>
    <xf numFmtId="3" fontId="51" fillId="0" borderId="0" xfId="0" applyNumberFormat="1" applyFont="1" applyAlignment="1">
      <alignment horizontal="left" vertical="top" wrapText="1"/>
    </xf>
    <xf numFmtId="5" fontId="0" fillId="0" borderId="10" xfId="0" applyNumberFormat="1" applyBorder="1" applyAlignment="1">
      <alignment horizontal="right" vertical="top" wrapText="1"/>
    </xf>
    <xf numFmtId="5" fontId="59" fillId="0" borderId="11" xfId="0" applyNumberFormat="1" applyFont="1" applyBorder="1" applyAlignment="1">
      <alignment horizontal="right" vertical="center" wrapText="1"/>
    </xf>
    <xf numFmtId="42" fontId="19" fillId="2" borderId="0" xfId="0" applyNumberFormat="1" applyFont="1" applyFill="1" applyAlignment="1">
      <alignment vertical="center"/>
    </xf>
    <xf numFmtId="0" fontId="71" fillId="0" borderId="0" xfId="0" applyFont="1" applyAlignment="1">
      <alignment horizontal="center" vertical="center"/>
    </xf>
    <xf numFmtId="37" fontId="19" fillId="0" borderId="0" xfId="0" applyNumberFormat="1" applyFont="1" applyAlignment="1">
      <alignment vertical="center"/>
    </xf>
    <xf numFmtId="42" fontId="19" fillId="2" borderId="27" xfId="0" applyNumberFormat="1" applyFont="1" applyFill="1" applyBorder="1" applyAlignment="1">
      <alignment vertical="center"/>
    </xf>
    <xf numFmtId="6" fontId="37" fillId="0" borderId="0" xfId="0" applyNumberFormat="1" applyFont="1" applyAlignment="1">
      <alignment horizontal="left" vertical="top" wrapText="1"/>
    </xf>
    <xf numFmtId="49" fontId="19" fillId="0" borderId="0" xfId="0" applyNumberFormat="1" applyFont="1"/>
    <xf numFmtId="169" fontId="29" fillId="0" borderId="0" xfId="0" applyNumberFormat="1" applyFont="1" applyAlignment="1">
      <alignment horizontal="right"/>
    </xf>
    <xf numFmtId="3" fontId="29" fillId="0" borderId="0" xfId="0" applyNumberFormat="1" applyFont="1" applyAlignment="1">
      <alignment horizontal="right"/>
    </xf>
    <xf numFmtId="3" fontId="19" fillId="0" borderId="0" xfId="0" applyNumberFormat="1" applyFont="1" applyAlignment="1">
      <alignment horizontal="right" vertical="center"/>
    </xf>
    <xf numFmtId="3" fontId="19" fillId="0" borderId="19" xfId="0" applyNumberFormat="1" applyFont="1" applyBorder="1" applyAlignment="1">
      <alignment vertical="center"/>
    </xf>
    <xf numFmtId="3" fontId="19" fillId="0" borderId="0" xfId="0" applyNumberFormat="1" applyFont="1" applyAlignment="1">
      <alignment vertical="center"/>
    </xf>
    <xf numFmtId="3" fontId="19" fillId="0" borderId="27" xfId="0" applyNumberFormat="1" applyFont="1" applyBorder="1" applyAlignment="1">
      <alignment vertical="center"/>
    </xf>
    <xf numFmtId="3" fontId="15" fillId="0" borderId="3" xfId="0" applyNumberFormat="1" applyFont="1" applyBorder="1" applyAlignment="1">
      <alignment vertical="center"/>
    </xf>
    <xf numFmtId="49" fontId="15" fillId="0" borderId="6" xfId="0" applyNumberFormat="1" applyFont="1" applyBorder="1" applyAlignment="1">
      <alignment vertical="center"/>
    </xf>
    <xf numFmtId="42" fontId="10" fillId="3" borderId="51" xfId="1" applyNumberFormat="1" applyFont="1" applyFill="1" applyBorder="1" applyAlignment="1"/>
    <xf numFmtId="41" fontId="0" fillId="0" borderId="0" xfId="1" applyNumberFormat="1" applyFont="1" applyFill="1" applyBorder="1" applyAlignment="1">
      <alignment horizontal="center"/>
    </xf>
    <xf numFmtId="0" fontId="0" fillId="0" borderId="48" xfId="0" applyBorder="1" applyAlignment="1">
      <alignment horizontal="center"/>
    </xf>
    <xf numFmtId="0" fontId="0" fillId="0" borderId="46" xfId="0" applyBorder="1" applyAlignment="1">
      <alignment horizontal="center"/>
    </xf>
    <xf numFmtId="38" fontId="33" fillId="0" borderId="2" xfId="1" applyNumberFormat="1" applyFont="1" applyFill="1" applyBorder="1" applyAlignment="1"/>
    <xf numFmtId="38" fontId="0" fillId="0" borderId="2" xfId="1" applyNumberFormat="1" applyFont="1" applyFill="1" applyBorder="1" applyAlignment="1"/>
    <xf numFmtId="41" fontId="0" fillId="0" borderId="27" xfId="1" applyNumberFormat="1" applyFont="1" applyFill="1" applyBorder="1" applyAlignment="1">
      <alignment horizontal="center"/>
    </xf>
    <xf numFmtId="38" fontId="0" fillId="0" borderId="27" xfId="1" applyNumberFormat="1" applyFont="1" applyFill="1" applyBorder="1" applyAlignment="1"/>
    <xf numFmtId="49" fontId="67" fillId="14" borderId="16" xfId="0" applyNumberFormat="1" applyFont="1" applyFill="1" applyBorder="1" applyAlignment="1">
      <alignment vertical="center"/>
    </xf>
    <xf numFmtId="49" fontId="67" fillId="14" borderId="0" xfId="0" applyNumberFormat="1" applyFont="1" applyFill="1" applyAlignment="1">
      <alignment vertical="center"/>
    </xf>
    <xf numFmtId="6" fontId="67" fillId="14" borderId="9" xfId="1" applyNumberFormat="1" applyFont="1" applyFill="1" applyBorder="1" applyAlignment="1">
      <alignment horizontal="right"/>
    </xf>
    <xf numFmtId="38" fontId="67" fillId="14" borderId="29" xfId="1" applyNumberFormat="1" applyFont="1" applyFill="1" applyBorder="1" applyAlignment="1">
      <alignment horizontal="right"/>
    </xf>
    <xf numFmtId="38" fontId="0" fillId="0" borderId="48" xfId="1" applyNumberFormat="1" applyFont="1" applyFill="1" applyBorder="1" applyAlignment="1"/>
    <xf numFmtId="40" fontId="14" fillId="0" borderId="0" xfId="0" applyNumberFormat="1" applyFont="1"/>
    <xf numFmtId="40" fontId="12" fillId="0" borderId="0" xfId="0" applyNumberFormat="1" applyFont="1" applyAlignment="1">
      <alignment vertical="center"/>
    </xf>
    <xf numFmtId="4" fontId="52" fillId="0" borderId="0" xfId="0" applyNumberFormat="1" applyFont="1"/>
    <xf numFmtId="42" fontId="7" fillId="3" borderId="46" xfId="0" applyNumberFormat="1" applyFont="1" applyFill="1" applyBorder="1"/>
    <xf numFmtId="3" fontId="22" fillId="9" borderId="21" xfId="1" applyNumberFormat="1" applyFont="1" applyFill="1" applyBorder="1" applyAlignment="1">
      <alignment horizontal="right"/>
    </xf>
    <xf numFmtId="0" fontId="7" fillId="0" borderId="0" xfId="0" applyFont="1" applyAlignment="1">
      <alignment horizontal="center"/>
    </xf>
    <xf numFmtId="6" fontId="22" fillId="9" borderId="20" xfId="0" applyNumberFormat="1" applyFont="1" applyFill="1" applyBorder="1" applyAlignment="1">
      <alignment horizontal="right"/>
    </xf>
    <xf numFmtId="6" fontId="22" fillId="9" borderId="19" xfId="0" applyNumberFormat="1" applyFont="1" applyFill="1" applyBorder="1" applyAlignment="1">
      <alignment horizontal="right"/>
    </xf>
    <xf numFmtId="49" fontId="22" fillId="15" borderId="52" xfId="0" applyNumberFormat="1" applyFont="1" applyFill="1" applyBorder="1" applyAlignment="1">
      <alignment vertical="center"/>
    </xf>
    <xf numFmtId="49" fontId="22" fillId="15" borderId="53" xfId="0" applyNumberFormat="1" applyFont="1" applyFill="1" applyBorder="1" applyAlignment="1">
      <alignment vertical="center"/>
    </xf>
    <xf numFmtId="38" fontId="22" fillId="15" borderId="53" xfId="1" applyNumberFormat="1" applyFont="1" applyFill="1" applyBorder="1" applyAlignment="1">
      <alignment horizontal="right"/>
    </xf>
    <xf numFmtId="49" fontId="22" fillId="15" borderId="26" xfId="0" applyNumberFormat="1" applyFont="1" applyFill="1" applyBorder="1" applyAlignment="1">
      <alignment vertical="center"/>
    </xf>
    <xf numFmtId="49" fontId="22" fillId="15" borderId="20" xfId="0" applyNumberFormat="1" applyFont="1" applyFill="1" applyBorder="1" applyAlignment="1">
      <alignment vertical="center"/>
    </xf>
    <xf numFmtId="6" fontId="22" fillId="15" borderId="20" xfId="1" applyNumberFormat="1" applyFont="1" applyFill="1" applyBorder="1" applyAlignment="1">
      <alignment horizontal="right"/>
    </xf>
    <xf numFmtId="38" fontId="22" fillId="15" borderId="20" xfId="1" applyNumberFormat="1" applyFont="1" applyFill="1" applyBorder="1" applyAlignment="1">
      <alignment horizontal="right"/>
    </xf>
    <xf numFmtId="3" fontId="22" fillId="15" borderId="21" xfId="1" applyNumberFormat="1" applyFont="1" applyFill="1" applyBorder="1" applyAlignment="1">
      <alignment horizontal="right"/>
    </xf>
    <xf numFmtId="49" fontId="67" fillId="11" borderId="32" xfId="0" applyNumberFormat="1" applyFont="1" applyFill="1" applyBorder="1" applyAlignment="1">
      <alignment vertical="center"/>
    </xf>
    <xf numFmtId="49" fontId="67" fillId="11" borderId="33" xfId="0" applyNumberFormat="1" applyFont="1" applyFill="1" applyBorder="1" applyAlignment="1">
      <alignment vertical="center"/>
    </xf>
    <xf numFmtId="6" fontId="67" fillId="11" borderId="66" xfId="1" applyNumberFormat="1" applyFont="1" applyFill="1" applyBorder="1" applyAlignment="1">
      <alignment horizontal="right"/>
    </xf>
    <xf numFmtId="38" fontId="67" fillId="11" borderId="66" xfId="1" applyNumberFormat="1" applyFont="1" applyFill="1" applyBorder="1" applyAlignment="1">
      <alignment horizontal="right"/>
    </xf>
    <xf numFmtId="3" fontId="67" fillId="11" borderId="59" xfId="1" applyNumberFormat="1" applyFont="1" applyFill="1" applyBorder="1" applyAlignment="1">
      <alignment horizontal="right"/>
    </xf>
    <xf numFmtId="38" fontId="23" fillId="15" borderId="53" xfId="1" applyNumberFormat="1" applyFont="1" applyFill="1" applyBorder="1" applyAlignment="1">
      <alignment horizontal="right"/>
    </xf>
    <xf numFmtId="38" fontId="23" fillId="15" borderId="20" xfId="1" applyNumberFormat="1" applyFont="1" applyFill="1" applyBorder="1" applyAlignment="1">
      <alignment horizontal="right"/>
    </xf>
    <xf numFmtId="38" fontId="23" fillId="0" borderId="0" xfId="1" applyNumberFormat="1" applyFont="1" applyFill="1" applyBorder="1" applyAlignment="1">
      <alignment horizontal="right"/>
    </xf>
    <xf numFmtId="38" fontId="72" fillId="11" borderId="66" xfId="1" applyNumberFormat="1" applyFont="1" applyFill="1" applyBorder="1" applyAlignment="1">
      <alignment horizontal="right"/>
    </xf>
    <xf numFmtId="38" fontId="22" fillId="15" borderId="11" xfId="1" applyNumberFormat="1" applyFont="1" applyFill="1" applyBorder="1" applyAlignment="1">
      <alignment horizontal="right"/>
    </xf>
    <xf numFmtId="38" fontId="23" fillId="15" borderId="11" xfId="1" applyNumberFormat="1" applyFont="1" applyFill="1" applyBorder="1" applyAlignment="1">
      <alignment horizontal="right"/>
    </xf>
    <xf numFmtId="3" fontId="22" fillId="15" borderId="36" xfId="1" applyNumberFormat="1" applyFont="1" applyFill="1" applyBorder="1" applyAlignment="1">
      <alignment horizontal="right"/>
    </xf>
    <xf numFmtId="3" fontId="22" fillId="15" borderId="56" xfId="1" applyNumberFormat="1" applyFont="1" applyFill="1" applyBorder="1" applyAlignment="1">
      <alignment horizontal="right"/>
    </xf>
    <xf numFmtId="6" fontId="23" fillId="15" borderId="53" xfId="1" applyNumberFormat="1" applyFont="1" applyFill="1" applyBorder="1" applyAlignment="1">
      <alignment horizontal="right"/>
    </xf>
    <xf numFmtId="172" fontId="53" fillId="0" borderId="0" xfId="0" applyNumberFormat="1" applyFont="1"/>
    <xf numFmtId="49" fontId="22" fillId="8" borderId="69" xfId="0" applyNumberFormat="1" applyFont="1" applyFill="1" applyBorder="1"/>
    <xf numFmtId="40" fontId="7" fillId="0" borderId="0" xfId="0" applyNumberFormat="1" applyFont="1"/>
    <xf numFmtId="1" fontId="9" fillId="0" borderId="0" xfId="0" applyNumberFormat="1" applyFont="1" applyAlignment="1">
      <alignment vertical="center"/>
    </xf>
    <xf numFmtId="38" fontId="0" fillId="9" borderId="49" xfId="1" applyNumberFormat="1" applyFont="1" applyFill="1" applyBorder="1" applyAlignment="1"/>
    <xf numFmtId="40" fontId="58" fillId="0" borderId="0" xfId="0" applyNumberFormat="1" applyFont="1"/>
    <xf numFmtId="49" fontId="67" fillId="4" borderId="33" xfId="0" applyNumberFormat="1" applyFont="1" applyFill="1" applyBorder="1" applyAlignment="1">
      <alignment horizontal="center" vertical="center"/>
    </xf>
    <xf numFmtId="6" fontId="67" fillId="4" borderId="38" xfId="1" applyNumberFormat="1" applyFont="1" applyFill="1" applyBorder="1" applyAlignment="1">
      <alignment horizontal="right"/>
    </xf>
    <xf numFmtId="43" fontId="72" fillId="4" borderId="38" xfId="7" applyFont="1" applyFill="1" applyBorder="1" applyAlignment="1">
      <alignment horizontal="right"/>
    </xf>
    <xf numFmtId="173" fontId="67" fillId="4" borderId="42" xfId="7" applyNumberFormat="1" applyFont="1" applyFill="1" applyBorder="1" applyAlignment="1">
      <alignment horizontal="right"/>
    </xf>
    <xf numFmtId="49" fontId="22" fillId="10" borderId="70" xfId="0" applyNumberFormat="1" applyFont="1" applyFill="1" applyBorder="1"/>
    <xf numFmtId="6" fontId="22" fillId="10" borderId="53" xfId="1" applyNumberFormat="1" applyFont="1" applyFill="1" applyBorder="1" applyAlignment="1">
      <alignment horizontal="right"/>
    </xf>
    <xf numFmtId="6" fontId="22" fillId="10" borderId="54" xfId="1" applyNumberFormat="1" applyFont="1" applyFill="1" applyBorder="1" applyAlignment="1">
      <alignment horizontal="right"/>
    </xf>
    <xf numFmtId="49" fontId="22" fillId="4" borderId="28" xfId="0" applyNumberFormat="1" applyFont="1" applyFill="1" applyBorder="1"/>
    <xf numFmtId="38" fontId="23" fillId="4" borderId="37" xfId="1" applyNumberFormat="1" applyFont="1" applyFill="1" applyBorder="1" applyAlignment="1">
      <alignment horizontal="right"/>
    </xf>
    <xf numFmtId="38" fontId="23" fillId="4" borderId="39" xfId="1" applyNumberFormat="1" applyFont="1" applyFill="1" applyBorder="1" applyAlignment="1">
      <alignment horizontal="right"/>
    </xf>
    <xf numFmtId="3" fontId="23" fillId="4" borderId="36" xfId="1" applyNumberFormat="1" applyFont="1" applyFill="1" applyBorder="1" applyAlignment="1">
      <alignment horizontal="right"/>
    </xf>
    <xf numFmtId="49" fontId="23" fillId="4" borderId="0" xfId="0" applyNumberFormat="1" applyFont="1" applyFill="1"/>
    <xf numFmtId="38" fontId="23" fillId="4" borderId="1" xfId="1" applyNumberFormat="1" applyFont="1" applyFill="1" applyBorder="1" applyAlignment="1">
      <alignment horizontal="right"/>
    </xf>
    <xf numFmtId="38" fontId="23" fillId="4" borderId="9" xfId="1" applyNumberFormat="1" applyFont="1" applyFill="1" applyBorder="1" applyAlignment="1">
      <alignment horizontal="right"/>
    </xf>
    <xf numFmtId="3" fontId="23" fillId="4" borderId="17" xfId="1" applyNumberFormat="1" applyFont="1" applyFill="1" applyBorder="1" applyAlignment="1">
      <alignment horizontal="right"/>
    </xf>
    <xf numFmtId="6" fontId="22" fillId="4" borderId="19" xfId="0" applyNumberFormat="1" applyFont="1" applyFill="1" applyBorder="1" applyAlignment="1">
      <alignment horizontal="center"/>
    </xf>
    <xf numFmtId="6" fontId="22" fillId="4" borderId="25" xfId="1" applyNumberFormat="1" applyFont="1" applyFill="1" applyBorder="1" applyAlignment="1">
      <alignment horizontal="right"/>
    </xf>
    <xf numFmtId="6" fontId="22" fillId="4" borderId="21" xfId="1" applyNumberFormat="1" applyFont="1" applyFill="1" applyBorder="1" applyAlignment="1">
      <alignment horizontal="right"/>
    </xf>
    <xf numFmtId="49" fontId="22" fillId="4" borderId="34" xfId="0" applyNumberFormat="1" applyFont="1" applyFill="1" applyBorder="1"/>
    <xf numFmtId="49" fontId="22" fillId="4" borderId="24" xfId="0" applyNumberFormat="1" applyFont="1" applyFill="1" applyBorder="1"/>
    <xf numFmtId="6" fontId="0" fillId="4" borderId="35" xfId="0" applyNumberFormat="1" applyFill="1" applyBorder="1"/>
    <xf numFmtId="49" fontId="22" fillId="9" borderId="37" xfId="0" applyNumberFormat="1" applyFont="1" applyFill="1" applyBorder="1"/>
    <xf numFmtId="49" fontId="22" fillId="9" borderId="39" xfId="0" applyNumberFormat="1" applyFont="1" applyFill="1" applyBorder="1"/>
    <xf numFmtId="3" fontId="22" fillId="9" borderId="36" xfId="0" applyNumberFormat="1" applyFont="1" applyFill="1" applyBorder="1"/>
    <xf numFmtId="49" fontId="23" fillId="9" borderId="0" xfId="0" applyNumberFormat="1" applyFont="1" applyFill="1"/>
    <xf numFmtId="3" fontId="23" fillId="9" borderId="17" xfId="1" applyNumberFormat="1" applyFont="1" applyFill="1" applyBorder="1" applyAlignment="1">
      <alignment horizontal="right"/>
    </xf>
    <xf numFmtId="6" fontId="0" fillId="9" borderId="18" xfId="0" applyNumberFormat="1" applyFill="1" applyBorder="1"/>
    <xf numFmtId="169" fontId="22" fillId="9" borderId="20" xfId="1" applyNumberFormat="1" applyFont="1" applyFill="1" applyBorder="1" applyAlignment="1">
      <alignment horizontal="right"/>
    </xf>
    <xf numFmtId="169" fontId="22" fillId="9" borderId="21" xfId="1" applyNumberFormat="1" applyFont="1" applyFill="1" applyBorder="1" applyAlignment="1">
      <alignment horizontal="right"/>
    </xf>
    <xf numFmtId="49" fontId="22" fillId="10" borderId="34" xfId="0" applyNumberFormat="1" applyFont="1" applyFill="1" applyBorder="1" applyAlignment="1">
      <alignment horizontal="left"/>
    </xf>
    <xf numFmtId="49" fontId="22" fillId="10" borderId="28" xfId="0" applyNumberFormat="1" applyFont="1" applyFill="1" applyBorder="1" applyAlignment="1">
      <alignment horizontal="center"/>
    </xf>
    <xf numFmtId="38" fontId="22" fillId="10" borderId="37" xfId="1" applyNumberFormat="1" applyFont="1" applyFill="1" applyBorder="1" applyAlignment="1">
      <alignment horizontal="right"/>
    </xf>
    <xf numFmtId="38" fontId="22" fillId="10" borderId="39" xfId="1" applyNumberFormat="1" applyFont="1" applyFill="1" applyBorder="1" applyAlignment="1">
      <alignment horizontal="right"/>
    </xf>
    <xf numFmtId="3" fontId="22" fillId="10" borderId="36" xfId="1" applyNumberFormat="1" applyFont="1" applyFill="1" applyBorder="1" applyAlignment="1">
      <alignment horizontal="right"/>
    </xf>
    <xf numFmtId="49" fontId="22" fillId="10" borderId="16" xfId="0" applyNumberFormat="1" applyFont="1" applyFill="1" applyBorder="1" applyAlignment="1">
      <alignment horizontal="left"/>
    </xf>
    <xf numFmtId="49" fontId="23" fillId="10" borderId="0" xfId="0" applyNumberFormat="1" applyFont="1" applyFill="1" applyAlignment="1">
      <alignment horizontal="left"/>
    </xf>
    <xf numFmtId="38" fontId="22" fillId="10" borderId="1" xfId="1" applyNumberFormat="1" applyFont="1" applyFill="1" applyBorder="1" applyAlignment="1">
      <alignment horizontal="right"/>
    </xf>
    <xf numFmtId="38" fontId="22" fillId="10" borderId="9" xfId="1" applyNumberFormat="1" applyFont="1" applyFill="1" applyBorder="1" applyAlignment="1">
      <alignment horizontal="right"/>
    </xf>
    <xf numFmtId="0" fontId="9" fillId="10" borderId="16" xfId="0" applyFont="1" applyFill="1" applyBorder="1" applyAlignment="1">
      <alignment horizontal="center"/>
    </xf>
    <xf numFmtId="38" fontId="72" fillId="10" borderId="1" xfId="1" applyNumberFormat="1" applyFont="1" applyFill="1" applyBorder="1" applyAlignment="1">
      <alignment horizontal="right"/>
    </xf>
    <xf numFmtId="6" fontId="0" fillId="10" borderId="18" xfId="0" applyNumberFormat="1" applyFill="1" applyBorder="1" applyAlignment="1">
      <alignment horizontal="center"/>
    </xf>
    <xf numFmtId="6" fontId="8" fillId="10" borderId="19" xfId="0" applyNumberFormat="1" applyFont="1" applyFill="1" applyBorder="1" applyAlignment="1">
      <alignment horizontal="center"/>
    </xf>
    <xf numFmtId="6" fontId="22" fillId="10" borderId="21" xfId="1" applyNumberFormat="1" applyFont="1" applyFill="1" applyBorder="1" applyAlignment="1">
      <alignment horizontal="right"/>
    </xf>
    <xf numFmtId="6" fontId="22" fillId="16" borderId="32" xfId="0" applyNumberFormat="1" applyFont="1" applyFill="1" applyBorder="1"/>
    <xf numFmtId="6" fontId="22" fillId="16" borderId="33" xfId="0" applyNumberFormat="1" applyFont="1" applyFill="1" applyBorder="1" applyAlignment="1">
      <alignment horizontal="center" vertical="center"/>
    </xf>
    <xf numFmtId="169" fontId="8" fillId="16" borderId="38" xfId="1" applyNumberFormat="1" applyFont="1" applyFill="1" applyBorder="1" applyAlignment="1">
      <alignment horizontal="right"/>
    </xf>
    <xf numFmtId="49" fontId="67" fillId="3" borderId="32" xfId="0" applyNumberFormat="1" applyFont="1" applyFill="1" applyBorder="1" applyAlignment="1">
      <alignment vertical="center"/>
    </xf>
    <xf numFmtId="49" fontId="22" fillId="12" borderId="60" xfId="0" applyNumberFormat="1" applyFont="1" applyFill="1" applyBorder="1" applyAlignment="1">
      <alignment vertical="center"/>
    </xf>
    <xf numFmtId="38" fontId="23" fillId="12" borderId="38" xfId="1" applyNumberFormat="1" applyFont="1" applyFill="1" applyBorder="1" applyAlignment="1">
      <alignment horizontal="right"/>
    </xf>
    <xf numFmtId="3" fontId="22" fillId="12" borderId="59" xfId="1" applyNumberFormat="1" applyFont="1" applyFill="1" applyBorder="1" applyAlignment="1">
      <alignment horizontal="right"/>
    </xf>
    <xf numFmtId="49" fontId="22" fillId="10" borderId="71" xfId="0" applyNumberFormat="1" applyFont="1" applyFill="1" applyBorder="1"/>
    <xf numFmtId="41" fontId="11" fillId="0" borderId="0" xfId="0" applyNumberFormat="1" applyFont="1" applyAlignment="1">
      <alignment vertical="center"/>
    </xf>
    <xf numFmtId="9" fontId="0" fillId="0" borderId="0" xfId="4" applyFont="1" applyAlignment="1">
      <alignment horizontal="center" vertical="center"/>
    </xf>
    <xf numFmtId="41" fontId="0" fillId="0" borderId="0" xfId="0" applyNumberFormat="1" applyAlignment="1">
      <alignment horizontal="center" vertical="center"/>
    </xf>
    <xf numFmtId="9" fontId="0" fillId="0" borderId="27" xfId="4" applyFont="1" applyBorder="1" applyAlignment="1">
      <alignment horizontal="center" vertical="center"/>
    </xf>
    <xf numFmtId="9" fontId="0" fillId="0" borderId="2" xfId="4" applyFont="1" applyBorder="1" applyAlignment="1">
      <alignment horizontal="center" vertical="center"/>
    </xf>
    <xf numFmtId="9" fontId="0" fillId="0" borderId="33" xfId="4" applyFont="1" applyBorder="1" applyAlignment="1">
      <alignment horizontal="center" vertical="center"/>
    </xf>
    <xf numFmtId="49" fontId="22" fillId="12" borderId="58" xfId="0" applyNumberFormat="1" applyFont="1" applyFill="1" applyBorder="1" applyAlignment="1">
      <alignment vertical="center"/>
    </xf>
    <xf numFmtId="174" fontId="19" fillId="0" borderId="0" xfId="0" applyNumberFormat="1" applyFont="1" applyAlignment="1">
      <alignment vertical="center"/>
    </xf>
    <xf numFmtId="165" fontId="57" fillId="0" borderId="27" xfId="0" applyNumberFormat="1" applyFont="1" applyBorder="1" applyAlignment="1">
      <alignment horizontal="center"/>
    </xf>
    <xf numFmtId="49" fontId="19" fillId="0" borderId="0" xfId="0" applyNumberFormat="1" applyFont="1" applyAlignment="1">
      <alignment horizontal="left" vertical="center" indent="2"/>
    </xf>
    <xf numFmtId="49" fontId="15" fillId="0" borderId="0" xfId="0" applyNumberFormat="1" applyFont="1" applyAlignment="1">
      <alignment horizontal="left" vertical="center" indent="2"/>
    </xf>
    <xf numFmtId="41" fontId="19" fillId="0" borderId="0" xfId="0" applyNumberFormat="1" applyFont="1" applyAlignment="1">
      <alignment horizontal="left" vertical="center" indent="2"/>
    </xf>
    <xf numFmtId="165" fontId="57" fillId="3" borderId="27" xfId="0" applyNumberFormat="1" applyFont="1" applyFill="1" applyBorder="1" applyAlignment="1">
      <alignment horizontal="center"/>
    </xf>
    <xf numFmtId="42" fontId="19" fillId="3" borderId="0" xfId="0" applyNumberFormat="1" applyFont="1" applyFill="1" applyAlignment="1">
      <alignment vertical="center"/>
    </xf>
    <xf numFmtId="41" fontId="19" fillId="3" borderId="0" xfId="0" applyNumberFormat="1" applyFont="1" applyFill="1" applyAlignment="1">
      <alignment vertical="center"/>
    </xf>
    <xf numFmtId="41" fontId="19" fillId="3" borderId="27" xfId="0" applyNumberFormat="1" applyFont="1" applyFill="1" applyBorder="1" applyAlignment="1">
      <alignment vertical="center"/>
    </xf>
    <xf numFmtId="0" fontId="0" fillId="3" borderId="0" xfId="0" applyFill="1" applyAlignment="1">
      <alignment vertical="center"/>
    </xf>
    <xf numFmtId="41" fontId="19" fillId="3" borderId="0" xfId="0" applyNumberFormat="1" applyFont="1" applyFill="1" applyAlignment="1">
      <alignment horizontal="left" vertical="center" indent="2"/>
    </xf>
    <xf numFmtId="41" fontId="19" fillId="3" borderId="19" xfId="0" applyNumberFormat="1" applyFont="1" applyFill="1" applyBorder="1" applyAlignment="1">
      <alignment vertical="center"/>
    </xf>
    <xf numFmtId="42" fontId="19" fillId="3" borderId="27" xfId="0" applyNumberFormat="1" applyFont="1" applyFill="1" applyBorder="1" applyAlignment="1">
      <alignment vertical="center"/>
    </xf>
    <xf numFmtId="42" fontId="19" fillId="3" borderId="31" xfId="0" applyNumberFormat="1" applyFont="1" applyFill="1" applyBorder="1" applyAlignment="1">
      <alignment vertical="center"/>
    </xf>
    <xf numFmtId="7" fontId="19" fillId="3" borderId="19" xfId="0" applyNumberFormat="1" applyFont="1" applyFill="1" applyBorder="1" applyAlignment="1">
      <alignment vertical="center"/>
    </xf>
    <xf numFmtId="174" fontId="19" fillId="3" borderId="0" xfId="0" applyNumberFormat="1" applyFont="1" applyFill="1" applyAlignment="1">
      <alignment vertical="center"/>
    </xf>
    <xf numFmtId="49" fontId="57" fillId="0" borderId="27" xfId="0" applyNumberFormat="1" applyFont="1" applyBorder="1" applyAlignment="1">
      <alignment horizontal="center"/>
    </xf>
    <xf numFmtId="41" fontId="19" fillId="17" borderId="0" xfId="0" applyNumberFormat="1" applyFont="1" applyFill="1" applyAlignment="1">
      <alignment vertical="center"/>
    </xf>
    <xf numFmtId="9" fontId="0" fillId="0" borderId="0" xfId="4" applyFont="1" applyAlignment="1">
      <alignment vertical="center"/>
    </xf>
    <xf numFmtId="165" fontId="73" fillId="0" borderId="27" xfId="0" applyNumberFormat="1" applyFont="1" applyBorder="1" applyAlignment="1">
      <alignment horizontal="right"/>
    </xf>
    <xf numFmtId="49" fontId="19" fillId="0" borderId="0" xfId="0" applyNumberFormat="1" applyFont="1" applyAlignment="1">
      <alignment horizontal="left" vertical="center" indent="4"/>
    </xf>
    <xf numFmtId="49" fontId="19" fillId="0" borderId="0" xfId="0" applyNumberFormat="1" applyFont="1" applyAlignment="1">
      <alignment horizontal="left" vertical="center" indent="12"/>
    </xf>
    <xf numFmtId="0" fontId="0" fillId="0" borderId="0" xfId="0" applyAlignment="1">
      <alignment horizontal="left" vertical="center" indent="12"/>
    </xf>
    <xf numFmtId="49" fontId="15" fillId="0" borderId="0" xfId="0" applyNumberFormat="1" applyFont="1" applyAlignment="1">
      <alignment horizontal="left" vertical="center" indent="7"/>
    </xf>
    <xf numFmtId="49" fontId="15" fillId="0" borderId="0" xfId="0" applyNumberFormat="1" applyFont="1" applyAlignment="1">
      <alignment horizontal="left" vertical="center" indent="8"/>
    </xf>
    <xf numFmtId="49" fontId="15" fillId="0" borderId="0" xfId="0" applyNumberFormat="1" applyFont="1" applyAlignment="1">
      <alignment horizontal="left" vertical="center" indent="24"/>
    </xf>
    <xf numFmtId="49" fontId="67" fillId="12" borderId="32" xfId="0" applyNumberFormat="1" applyFont="1" applyFill="1" applyBorder="1" applyAlignment="1">
      <alignment vertical="center"/>
    </xf>
    <xf numFmtId="49" fontId="67" fillId="12" borderId="33" xfId="0" applyNumberFormat="1" applyFont="1" applyFill="1" applyBorder="1" applyAlignment="1">
      <alignment horizontal="center" vertical="center"/>
    </xf>
    <xf numFmtId="6" fontId="67" fillId="12" borderId="38" xfId="1" applyNumberFormat="1" applyFont="1" applyFill="1" applyBorder="1" applyAlignment="1">
      <alignment horizontal="right"/>
    </xf>
    <xf numFmtId="43" fontId="72" fillId="12" borderId="38" xfId="7" applyFont="1" applyFill="1" applyBorder="1" applyAlignment="1">
      <alignment horizontal="right"/>
    </xf>
    <xf numFmtId="173" fontId="67" fillId="12" borderId="42" xfId="7" applyNumberFormat="1" applyFont="1" applyFill="1" applyBorder="1" applyAlignment="1">
      <alignment horizontal="right"/>
    </xf>
    <xf numFmtId="49" fontId="67" fillId="10" borderId="32" xfId="0" applyNumberFormat="1" applyFont="1" applyFill="1" applyBorder="1" applyAlignment="1">
      <alignment vertical="center"/>
    </xf>
    <xf numFmtId="49" fontId="67" fillId="10" borderId="33" xfId="0" applyNumberFormat="1" applyFont="1" applyFill="1" applyBorder="1" applyAlignment="1">
      <alignment horizontal="center" vertical="center"/>
    </xf>
    <xf numFmtId="6" fontId="67" fillId="10" borderId="38" xfId="1" applyNumberFormat="1" applyFont="1" applyFill="1" applyBorder="1" applyAlignment="1">
      <alignment horizontal="right"/>
    </xf>
    <xf numFmtId="43" fontId="72" fillId="10" borderId="38" xfId="7" applyFont="1" applyFill="1" applyBorder="1" applyAlignment="1">
      <alignment horizontal="right"/>
    </xf>
    <xf numFmtId="173" fontId="67" fillId="10" borderId="42" xfId="7" applyNumberFormat="1" applyFont="1" applyFill="1" applyBorder="1" applyAlignment="1">
      <alignment horizontal="right"/>
    </xf>
    <xf numFmtId="49" fontId="22" fillId="10" borderId="69" xfId="0" applyNumberFormat="1" applyFont="1" applyFill="1" applyBorder="1"/>
    <xf numFmtId="14" fontId="0" fillId="0" borderId="2" xfId="0" applyNumberFormat="1" applyBorder="1" applyAlignment="1">
      <alignment horizontal="center"/>
    </xf>
    <xf numFmtId="14" fontId="0" fillId="0" borderId="27" xfId="0" applyNumberFormat="1" applyBorder="1" applyAlignment="1">
      <alignment horizontal="center"/>
    </xf>
    <xf numFmtId="14" fontId="0" fillId="0" borderId="46" xfId="0" applyNumberFormat="1" applyBorder="1" applyAlignment="1">
      <alignment horizontal="center"/>
    </xf>
    <xf numFmtId="0" fontId="0" fillId="18" borderId="49" xfId="0" applyFill="1" applyBorder="1"/>
    <xf numFmtId="14" fontId="0" fillId="18" borderId="49" xfId="0" applyNumberFormat="1" applyFill="1" applyBorder="1" applyAlignment="1">
      <alignment horizontal="center"/>
    </xf>
    <xf numFmtId="14" fontId="0" fillId="18" borderId="0" xfId="0" applyNumberFormat="1" applyFill="1" applyAlignment="1">
      <alignment horizontal="center"/>
    </xf>
    <xf numFmtId="41" fontId="0" fillId="18" borderId="49" xfId="1" applyNumberFormat="1" applyFont="1" applyFill="1" applyBorder="1" applyAlignment="1"/>
    <xf numFmtId="41" fontId="0" fillId="18" borderId="0" xfId="1" applyNumberFormat="1" applyFont="1" applyFill="1" applyBorder="1" applyAlignment="1"/>
    <xf numFmtId="38" fontId="0" fillId="18" borderId="49" xfId="1" applyNumberFormat="1" applyFont="1" applyFill="1" applyBorder="1" applyAlignment="1"/>
    <xf numFmtId="41" fontId="15" fillId="0" borderId="28" xfId="0" applyNumberFormat="1" applyFont="1" applyBorder="1" applyAlignment="1">
      <alignment vertical="center"/>
    </xf>
    <xf numFmtId="175" fontId="53" fillId="0" borderId="0" xfId="0" applyNumberFormat="1" applyFont="1"/>
    <xf numFmtId="175" fontId="12" fillId="0" borderId="0" xfId="0" applyNumberFormat="1" applyFont="1"/>
    <xf numFmtId="172" fontId="12" fillId="0" borderId="0" xfId="0" applyNumberFormat="1" applyFont="1"/>
    <xf numFmtId="3" fontId="74" fillId="0" borderId="0" xfId="0" applyNumberFormat="1" applyFont="1"/>
    <xf numFmtId="4" fontId="74" fillId="0" borderId="0" xfId="0" applyNumberFormat="1" applyFont="1"/>
    <xf numFmtId="0" fontId="75" fillId="0" borderId="0" xfId="0" applyFont="1"/>
    <xf numFmtId="41" fontId="27" fillId="0" borderId="33" xfId="0" applyNumberFormat="1" applyFont="1" applyBorder="1" applyAlignment="1">
      <alignment vertical="center"/>
    </xf>
    <xf numFmtId="41" fontId="27" fillId="0" borderId="19" xfId="0" applyNumberFormat="1" applyFont="1" applyBorder="1" applyAlignment="1">
      <alignment vertical="center"/>
    </xf>
    <xf numFmtId="9" fontId="0" fillId="0" borderId="19" xfId="4" applyFont="1" applyBorder="1" applyAlignment="1">
      <alignment horizontal="center" vertical="center"/>
    </xf>
    <xf numFmtId="9" fontId="28" fillId="0" borderId="19" xfId="4" applyFont="1" applyBorder="1" applyAlignment="1">
      <alignment horizontal="center" vertical="center"/>
    </xf>
    <xf numFmtId="9" fontId="28" fillId="0" borderId="27" xfId="4" applyFont="1" applyBorder="1" applyAlignment="1">
      <alignment horizontal="center" vertical="center"/>
    </xf>
    <xf numFmtId="41" fontId="55" fillId="0" borderId="27" xfId="0" applyNumberFormat="1" applyFont="1" applyBorder="1" applyAlignment="1">
      <alignment vertical="center"/>
    </xf>
    <xf numFmtId="165" fontId="29" fillId="0" borderId="27" xfId="0" applyNumberFormat="1" applyFont="1" applyBorder="1" applyAlignment="1">
      <alignment horizontal="center" wrapText="1"/>
    </xf>
    <xf numFmtId="165" fontId="29" fillId="0" borderId="0" xfId="0" applyNumberFormat="1" applyFont="1" applyAlignment="1">
      <alignment horizontal="center" wrapText="1"/>
    </xf>
    <xf numFmtId="0" fontId="9" fillId="0" borderId="0" xfId="0" applyFont="1" applyAlignment="1">
      <alignment wrapText="1"/>
    </xf>
    <xf numFmtId="40" fontId="0" fillId="0" borderId="0" xfId="0" applyNumberFormat="1" applyAlignment="1">
      <alignment wrapText="1"/>
    </xf>
    <xf numFmtId="0" fontId="0" fillId="0" borderId="0" xfId="0" applyAlignment="1">
      <alignment wrapText="1"/>
    </xf>
    <xf numFmtId="165" fontId="29" fillId="0" borderId="27" xfId="0" applyNumberFormat="1" applyFont="1" applyBorder="1" applyAlignment="1">
      <alignment horizontal="center" vertical="top" wrapText="1"/>
    </xf>
    <xf numFmtId="41" fontId="19" fillId="0" borderId="28" xfId="0" applyNumberFormat="1" applyFont="1" applyBorder="1" applyAlignment="1">
      <alignment vertical="center"/>
    </xf>
    <xf numFmtId="169" fontId="0" fillId="0" borderId="0" xfId="0" applyNumberFormat="1"/>
    <xf numFmtId="44" fontId="0" fillId="0" borderId="0" xfId="1" applyFont="1"/>
    <xf numFmtId="38" fontId="23" fillId="9" borderId="0" xfId="1" applyNumberFormat="1" applyFont="1" applyFill="1" applyBorder="1" applyAlignment="1">
      <alignment horizontal="right"/>
    </xf>
    <xf numFmtId="6" fontId="72" fillId="12" borderId="38" xfId="1" applyNumberFormat="1" applyFont="1" applyFill="1" applyBorder="1" applyAlignment="1">
      <alignment horizontal="right"/>
    </xf>
    <xf numFmtId="0" fontId="8" fillId="0" borderId="0" xfId="0" applyFont="1" applyAlignment="1">
      <alignment horizontal="center"/>
    </xf>
    <xf numFmtId="6" fontId="9" fillId="0" borderId="0" xfId="0" applyNumberFormat="1" applyFont="1"/>
    <xf numFmtId="43" fontId="9" fillId="0" borderId="0" xfId="7" applyFont="1"/>
    <xf numFmtId="43" fontId="9" fillId="0" borderId="0" xfId="7" applyFont="1" applyAlignment="1">
      <alignment vertical="center"/>
    </xf>
    <xf numFmtId="3" fontId="0" fillId="0" borderId="0" xfId="0" applyNumberFormat="1"/>
    <xf numFmtId="0" fontId="48" fillId="0" borderId="0" xfId="0" applyFont="1"/>
    <xf numFmtId="0" fontId="11" fillId="0" borderId="0" xfId="0" applyFont="1" applyAlignment="1">
      <alignment horizontal="center" vertical="center"/>
    </xf>
    <xf numFmtId="0" fontId="11" fillId="0" borderId="30" xfId="0" applyFont="1" applyBorder="1" applyAlignment="1">
      <alignment vertical="center"/>
    </xf>
    <xf numFmtId="0" fontId="11" fillId="0" borderId="0" xfId="0" applyFont="1" applyAlignment="1">
      <alignment vertical="center"/>
    </xf>
    <xf numFmtId="0" fontId="11" fillId="0" borderId="0" xfId="0" applyFont="1"/>
    <xf numFmtId="10" fontId="21" fillId="0" borderId="28" xfId="4" applyNumberFormat="1" applyFont="1" applyBorder="1" applyAlignment="1">
      <alignment vertical="center"/>
    </xf>
    <xf numFmtId="4" fontId="52" fillId="0" borderId="0" xfId="0" applyNumberFormat="1" applyFont="1" applyAlignment="1">
      <alignment wrapText="1"/>
    </xf>
    <xf numFmtId="176" fontId="52" fillId="0" borderId="0" xfId="0" applyNumberFormat="1" applyFont="1" applyAlignment="1">
      <alignment horizontal="right" wrapText="1"/>
    </xf>
    <xf numFmtId="4" fontId="52" fillId="0" borderId="0" xfId="8" applyNumberFormat="1" applyFont="1" applyAlignment="1">
      <alignment wrapText="1"/>
    </xf>
    <xf numFmtId="9" fontId="0" fillId="0" borderId="0" xfId="4" applyFont="1" applyBorder="1" applyAlignment="1">
      <alignment horizontal="center" vertical="center"/>
    </xf>
    <xf numFmtId="0" fontId="76" fillId="0" borderId="0" xfId="0" applyFont="1" applyAlignment="1">
      <alignment horizontal="center"/>
    </xf>
    <xf numFmtId="38" fontId="27" fillId="0" borderId="0" xfId="0" applyNumberFormat="1" applyFont="1" applyAlignment="1">
      <alignment horizontal="right"/>
    </xf>
    <xf numFmtId="3" fontId="27" fillId="0" borderId="0" xfId="0" applyNumberFormat="1" applyFont="1" applyAlignment="1">
      <alignment horizontal="right"/>
    </xf>
    <xf numFmtId="0" fontId="70" fillId="0" borderId="0" xfId="0" applyFont="1" applyAlignment="1">
      <alignment horizontal="center"/>
    </xf>
    <xf numFmtId="6" fontId="27" fillId="0" borderId="0" xfId="0" applyNumberFormat="1" applyFont="1"/>
    <xf numFmtId="38" fontId="9" fillId="0" borderId="0" xfId="0" applyNumberFormat="1" applyFont="1" applyAlignment="1">
      <alignment horizontal="right"/>
    </xf>
    <xf numFmtId="41" fontId="9" fillId="0" borderId="6" xfId="0" applyNumberFormat="1" applyFont="1" applyBorder="1" applyAlignment="1">
      <alignment horizontal="right"/>
    </xf>
    <xf numFmtId="16" fontId="22" fillId="0" borderId="0" xfId="0" applyNumberFormat="1" applyFont="1" applyAlignment="1">
      <alignment horizontal="center"/>
    </xf>
    <xf numFmtId="6" fontId="9" fillId="0" borderId="55" xfId="0" applyNumberFormat="1" applyFont="1" applyBorder="1" applyAlignment="1">
      <alignment horizontal="right"/>
    </xf>
    <xf numFmtId="173" fontId="9" fillId="0" borderId="0" xfId="0" applyNumberFormat="1" applyFont="1" applyAlignment="1">
      <alignment horizontal="right"/>
    </xf>
    <xf numFmtId="49" fontId="22" fillId="4" borderId="72" xfId="0" applyNumberFormat="1" applyFont="1" applyFill="1" applyBorder="1"/>
    <xf numFmtId="49" fontId="22" fillId="4" borderId="73" xfId="0" applyNumberFormat="1" applyFont="1" applyFill="1" applyBorder="1"/>
    <xf numFmtId="169" fontId="9" fillId="0" borderId="0" xfId="0" applyNumberFormat="1" applyFont="1"/>
    <xf numFmtId="6" fontId="0" fillId="0" borderId="49" xfId="1" applyNumberFormat="1" applyFont="1" applyFill="1" applyBorder="1" applyAlignment="1"/>
    <xf numFmtId="40" fontId="75" fillId="0" borderId="0" xfId="0" applyNumberFormat="1" applyFont="1"/>
    <xf numFmtId="14" fontId="53" fillId="0" borderId="0" xfId="0" applyNumberFormat="1" applyFont="1" applyAlignment="1">
      <alignment wrapText="1"/>
    </xf>
    <xf numFmtId="4" fontId="53" fillId="0" borderId="0" xfId="0" applyNumberFormat="1" applyFont="1" applyAlignment="1">
      <alignment wrapText="1"/>
    </xf>
    <xf numFmtId="43" fontId="0" fillId="0" borderId="0" xfId="7" applyFont="1"/>
    <xf numFmtId="0" fontId="0" fillId="0" borderId="0" xfId="0" applyAlignment="1">
      <alignment horizontal="right" wrapText="1"/>
    </xf>
    <xf numFmtId="42" fontId="0" fillId="0" borderId="20" xfId="0" applyNumberFormat="1" applyBorder="1" applyAlignment="1">
      <alignment horizontal="right" wrapText="1"/>
    </xf>
    <xf numFmtId="43" fontId="88" fillId="0" borderId="0" xfId="7" applyFont="1"/>
    <xf numFmtId="173" fontId="19" fillId="0" borderId="0" xfId="0" applyNumberFormat="1" applyFont="1" applyAlignment="1">
      <alignment vertical="center"/>
    </xf>
    <xf numFmtId="0" fontId="3" fillId="0" borderId="11" xfId="0" applyFont="1" applyBorder="1" applyAlignment="1">
      <alignment horizontal="center" vertical="center"/>
    </xf>
    <xf numFmtId="9" fontId="57" fillId="0" borderId="27" xfId="0" applyNumberFormat="1" applyFont="1" applyBorder="1" applyAlignment="1">
      <alignment horizontal="center" vertical="center"/>
    </xf>
    <xf numFmtId="9" fontId="0" fillId="0" borderId="74" xfId="4" applyFont="1" applyBorder="1" applyAlignment="1">
      <alignment horizontal="center" vertical="center"/>
    </xf>
    <xf numFmtId="0" fontId="75" fillId="0" borderId="0" xfId="0" applyFont="1" applyAlignment="1">
      <alignment vertical="center"/>
    </xf>
    <xf numFmtId="41" fontId="75" fillId="0" borderId="0" xfId="0" applyNumberFormat="1" applyFont="1" applyAlignment="1">
      <alignment vertical="center"/>
    </xf>
    <xf numFmtId="0" fontId="89" fillId="0" borderId="0" xfId="0" applyFont="1" applyAlignment="1">
      <alignment vertical="center"/>
    </xf>
    <xf numFmtId="49" fontId="90" fillId="0" borderId="0" xfId="0" applyNumberFormat="1" applyFont="1" applyAlignment="1">
      <alignment vertical="center"/>
    </xf>
    <xf numFmtId="38" fontId="0" fillId="2" borderId="2" xfId="1" applyNumberFormat="1" applyFont="1" applyFill="1" applyBorder="1" applyAlignment="1"/>
    <xf numFmtId="41" fontId="19" fillId="0" borderId="3" xfId="0" applyNumberFormat="1" applyFont="1" applyBorder="1" applyAlignment="1">
      <alignment vertical="center"/>
    </xf>
    <xf numFmtId="9" fontId="0" fillId="0" borderId="3" xfId="4" applyFont="1" applyBorder="1" applyAlignment="1">
      <alignment horizontal="center" vertical="center"/>
    </xf>
    <xf numFmtId="41" fontId="70" fillId="0" borderId="0" xfId="0" applyNumberFormat="1" applyFont="1" applyAlignment="1">
      <alignment vertical="center"/>
    </xf>
    <xf numFmtId="9" fontId="7" fillId="0" borderId="0" xfId="4" applyFont="1" applyAlignment="1">
      <alignment horizontal="center" vertical="center"/>
    </xf>
    <xf numFmtId="49" fontId="91" fillId="0" borderId="27" xfId="0" applyNumberFormat="1" applyFont="1" applyBorder="1"/>
    <xf numFmtId="1" fontId="25" fillId="0" borderId="0" xfId="0" applyNumberFormat="1" applyFont="1" applyAlignment="1">
      <alignment horizontal="center"/>
    </xf>
    <xf numFmtId="14" fontId="12" fillId="0" borderId="62" xfId="0" applyNumberFormat="1" applyFont="1" applyBorder="1" applyAlignment="1">
      <alignment horizontal="center"/>
    </xf>
    <xf numFmtId="14" fontId="12" fillId="0" borderId="0" xfId="0" applyNumberFormat="1" applyFont="1"/>
    <xf numFmtId="14" fontId="53" fillId="0" borderId="0" xfId="0" applyNumberFormat="1" applyFont="1"/>
    <xf numFmtId="14" fontId="53" fillId="0" borderId="0" xfId="0" applyNumberFormat="1" applyFont="1" applyAlignment="1">
      <alignment horizontal="right"/>
    </xf>
    <xf numFmtId="14" fontId="92" fillId="0" borderId="0" xfId="0" applyNumberFormat="1" applyFont="1"/>
    <xf numFmtId="14" fontId="56" fillId="0" borderId="0" xfId="0" applyNumberFormat="1" applyFont="1"/>
    <xf numFmtId="14" fontId="2" fillId="0" borderId="0" xfId="0" applyNumberFormat="1" applyFont="1"/>
    <xf numFmtId="177" fontId="56" fillId="0" borderId="0" xfId="0" applyNumberFormat="1" applyFont="1" applyAlignment="1">
      <alignment horizontal="right"/>
    </xf>
    <xf numFmtId="167" fontId="56" fillId="0" borderId="0" xfId="0" applyNumberFormat="1" applyFont="1" applyAlignment="1">
      <alignment horizontal="right"/>
    </xf>
    <xf numFmtId="14" fontId="56" fillId="0" borderId="0" xfId="0" applyNumberFormat="1" applyFont="1" applyAlignment="1">
      <alignment horizontal="right"/>
    </xf>
    <xf numFmtId="41" fontId="17" fillId="0" borderId="30" xfId="0" applyNumberFormat="1" applyFont="1" applyBorder="1" applyAlignment="1">
      <alignment horizontal="center" vertical="center"/>
    </xf>
    <xf numFmtId="0" fontId="27" fillId="0" borderId="27" xfId="0" applyFont="1" applyBorder="1" applyAlignment="1">
      <alignment horizontal="center" vertical="center"/>
    </xf>
    <xf numFmtId="49" fontId="19" fillId="0" borderId="0" xfId="0" applyNumberFormat="1" applyFont="1" applyAlignment="1">
      <alignment horizontal="left" vertical="center"/>
    </xf>
    <xf numFmtId="0" fontId="57" fillId="0" borderId="0" xfId="0" applyFont="1" applyAlignment="1">
      <alignment horizontal="left" vertical="center" wrapText="1"/>
    </xf>
    <xf numFmtId="0" fontId="28" fillId="0" borderId="0" xfId="0" applyFont="1" applyAlignment="1">
      <alignment horizontal="left" vertical="center" wrapText="1"/>
    </xf>
    <xf numFmtId="49" fontId="15" fillId="0" borderId="0" xfId="0" applyNumberFormat="1" applyFont="1" applyAlignment="1">
      <alignment horizontal="center" vertical="center"/>
    </xf>
    <xf numFmtId="0" fontId="84" fillId="0" borderId="0" xfId="0" applyFont="1" applyAlignment="1">
      <alignment horizontal="left" vertical="top" wrapText="1"/>
    </xf>
    <xf numFmtId="0" fontId="52" fillId="0" borderId="11" xfId="0" applyFont="1" applyBorder="1" applyAlignment="1">
      <alignment horizontal="center" vertical="center" wrapText="1"/>
    </xf>
    <xf numFmtId="0" fontId="41" fillId="0" borderId="0" xfId="0" applyFont="1" applyAlignment="1">
      <alignment horizontal="left" vertical="center" wrapText="1"/>
    </xf>
    <xf numFmtId="0" fontId="38" fillId="0" borderId="0" xfId="0" applyFont="1" applyAlignment="1">
      <alignment horizontal="center" vertical="center" wrapText="1"/>
    </xf>
    <xf numFmtId="41" fontId="38" fillId="0" borderId="0" xfId="0" applyNumberFormat="1" applyFont="1" applyAlignment="1">
      <alignment horizontal="center" vertical="center" wrapText="1"/>
    </xf>
    <xf numFmtId="0" fontId="37" fillId="0" borderId="0" xfId="0" applyFont="1" applyAlignment="1">
      <alignment horizontal="left" vertical="center" wrapText="1"/>
    </xf>
    <xf numFmtId="0" fontId="84" fillId="0" borderId="0" xfId="0" applyFont="1" applyAlignment="1">
      <alignment horizontal="left" wrapText="1"/>
    </xf>
    <xf numFmtId="0" fontId="37" fillId="0" borderId="0" xfId="0" applyFont="1" applyAlignment="1">
      <alignment horizontal="left" vertical="top" wrapText="1"/>
    </xf>
    <xf numFmtId="0" fontId="41" fillId="0" borderId="0" xfId="0" applyFont="1" applyAlignment="1">
      <alignment horizontal="center" vertical="center" wrapText="1"/>
    </xf>
    <xf numFmtId="0" fontId="37" fillId="0" borderId="2" xfId="0" applyFont="1" applyBorder="1" applyAlignment="1">
      <alignment horizontal="left" vertical="top" wrapText="1"/>
    </xf>
    <xf numFmtId="0" fontId="38" fillId="0" borderId="0" xfId="0" applyFont="1" applyAlignment="1">
      <alignment vertical="top" wrapText="1"/>
    </xf>
    <xf numFmtId="0" fontId="38" fillId="0" borderId="0" xfId="0" applyFont="1" applyAlignment="1">
      <alignment horizontal="center" vertical="top" wrapText="1"/>
    </xf>
    <xf numFmtId="0" fontId="81"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center" vertical="center"/>
    </xf>
    <xf numFmtId="167" fontId="36" fillId="0" borderId="0" xfId="0" applyNumberFormat="1" applyFont="1" applyAlignment="1">
      <alignment horizontal="center" vertical="center"/>
    </xf>
    <xf numFmtId="0" fontId="78" fillId="0" borderId="0" xfId="0" applyFont="1" applyAlignment="1">
      <alignment horizontal="left" vertical="center" wrapText="1"/>
    </xf>
    <xf numFmtId="0" fontId="0" fillId="0" borderId="11" xfId="0" applyBorder="1" applyAlignment="1">
      <alignment horizontal="left" vertical="top" wrapText="1"/>
    </xf>
    <xf numFmtId="0" fontId="0" fillId="0" borderId="11" xfId="0" applyBorder="1" applyAlignment="1">
      <alignment horizontal="left" vertical="top"/>
    </xf>
    <xf numFmtId="17" fontId="0" fillId="0" borderId="2" xfId="0" applyNumberFormat="1"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1" xfId="0" applyBorder="1" applyAlignment="1">
      <alignment horizontal="center" vertical="center" wrapText="1"/>
    </xf>
    <xf numFmtId="0" fontId="25" fillId="0" borderId="5" xfId="0" applyFont="1" applyBorder="1" applyAlignment="1">
      <alignment horizontal="center" vertical="top" wrapText="1"/>
    </xf>
    <xf numFmtId="0" fontId="25" fillId="0" borderId="7" xfId="0" applyFont="1" applyBorder="1" applyAlignment="1">
      <alignment horizontal="center" vertical="top" wrapText="1"/>
    </xf>
    <xf numFmtId="0" fontId="3" fillId="0" borderId="11" xfId="0" applyFont="1" applyBorder="1" applyAlignment="1">
      <alignment horizontal="left" vertical="top" wrapText="1"/>
    </xf>
    <xf numFmtId="0" fontId="37" fillId="0" borderId="0" xfId="0" applyFont="1" applyAlignment="1">
      <alignment horizontal="left"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61" fillId="0" borderId="0" xfId="0" applyFont="1" applyAlignment="1">
      <alignment horizontal="center" vertical="center" wrapText="1"/>
    </xf>
    <xf numFmtId="0" fontId="41" fillId="0" borderId="0" xfId="0" applyFont="1" applyAlignment="1">
      <alignment horizontal="righ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0" fillId="0" borderId="0" xfId="0" applyAlignment="1">
      <alignment horizontal="center"/>
    </xf>
    <xf numFmtId="0" fontId="52" fillId="0" borderId="5" xfId="0" applyFont="1" applyBorder="1" applyAlignment="1">
      <alignment horizontal="center" vertical="center" wrapText="1"/>
    </xf>
    <xf numFmtId="0" fontId="52" fillId="0" borderId="7" xfId="0" applyFont="1" applyBorder="1" applyAlignment="1">
      <alignment horizontal="center" vertical="center" wrapText="1"/>
    </xf>
    <xf numFmtId="0" fontId="41" fillId="0" borderId="0" xfId="0" applyFont="1" applyAlignment="1">
      <alignment horizontal="right"/>
    </xf>
    <xf numFmtId="0" fontId="38" fillId="0" borderId="0" xfId="0" applyFont="1" applyAlignment="1">
      <alignment horizontal="left" vertical="center" wrapText="1"/>
    </xf>
    <xf numFmtId="0" fontId="38" fillId="0" borderId="0" xfId="0" applyFont="1" applyAlignment="1">
      <alignment horizontal="left" vertical="center" wrapText="1" indent="2"/>
    </xf>
    <xf numFmtId="49" fontId="22" fillId="9" borderId="34" xfId="0" applyNumberFormat="1" applyFont="1" applyFill="1" applyBorder="1" applyAlignment="1">
      <alignment horizontal="left"/>
    </xf>
    <xf numFmtId="49" fontId="22" fillId="9" borderId="28" xfId="0" applyNumberFormat="1" applyFont="1" applyFill="1" applyBorder="1" applyAlignment="1">
      <alignment horizontal="left"/>
    </xf>
    <xf numFmtId="49" fontId="22" fillId="15" borderId="69" xfId="0" applyNumberFormat="1" applyFont="1" applyFill="1" applyBorder="1" applyAlignment="1">
      <alignment horizontal="left" vertical="center"/>
    </xf>
    <xf numFmtId="49" fontId="22" fillId="15" borderId="7" xfId="0" applyNumberFormat="1" applyFont="1" applyFill="1" applyBorder="1" applyAlignment="1">
      <alignment horizontal="left" vertical="center"/>
    </xf>
    <xf numFmtId="0" fontId="0" fillId="0" borderId="16" xfId="0" applyBorder="1" applyAlignment="1">
      <alignment horizontal="left"/>
    </xf>
    <xf numFmtId="0" fontId="0" fillId="0" borderId="0" xfId="0" applyAlignment="1">
      <alignment horizontal="left"/>
    </xf>
    <xf numFmtId="0" fontId="0" fillId="0" borderId="29" xfId="0" applyBorder="1" applyAlignment="1">
      <alignment horizontal="left"/>
    </xf>
    <xf numFmtId="0" fontId="0" fillId="0" borderId="68" xfId="0" applyBorder="1" applyAlignment="1">
      <alignment horizontal="left"/>
    </xf>
    <xf numFmtId="0" fontId="0" fillId="0" borderId="1" xfId="0" applyBorder="1" applyAlignment="1">
      <alignment horizontal="left"/>
    </xf>
    <xf numFmtId="0" fontId="0" fillId="0" borderId="20" xfId="0" applyBorder="1" applyAlignment="1">
      <alignment horizontal="left"/>
    </xf>
    <xf numFmtId="0" fontId="33" fillId="0" borderId="16" xfId="0" applyFont="1" applyBorder="1" applyAlignment="1">
      <alignment horizontal="left"/>
    </xf>
    <xf numFmtId="0" fontId="33" fillId="0" borderId="0" xfId="0" applyFont="1" applyAlignment="1">
      <alignment horizontal="left"/>
    </xf>
    <xf numFmtId="0" fontId="33" fillId="0" borderId="29" xfId="0" applyFont="1" applyBorder="1" applyAlignment="1">
      <alignment horizontal="left"/>
    </xf>
    <xf numFmtId="0" fontId="0" fillId="0" borderId="11" xfId="0" applyBorder="1" applyAlignment="1">
      <alignment horizontal="left"/>
    </xf>
    <xf numFmtId="0" fontId="0" fillId="0" borderId="5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42" xfId="0" applyFont="1" applyFill="1" applyBorder="1" applyAlignment="1">
      <alignment horizontal="center" vertical="center"/>
    </xf>
    <xf numFmtId="0" fontId="0" fillId="0" borderId="23" xfId="0" applyBorder="1" applyAlignment="1">
      <alignment horizontal="left"/>
    </xf>
    <xf numFmtId="0" fontId="0" fillId="18" borderId="68" xfId="0" applyFill="1" applyBorder="1" applyAlignment="1">
      <alignment horizontal="left"/>
    </xf>
    <xf numFmtId="0" fontId="0" fillId="18" borderId="1" xfId="0" applyFill="1" applyBorder="1" applyAlignment="1">
      <alignment horizontal="left"/>
    </xf>
    <xf numFmtId="49" fontId="22" fillId="11" borderId="35" xfId="0" applyNumberFormat="1" applyFont="1" applyFill="1" applyBorder="1" applyAlignment="1">
      <alignment horizontal="center" vertical="center"/>
    </xf>
    <xf numFmtId="49" fontId="22" fillId="11" borderId="50" xfId="0" applyNumberFormat="1" applyFont="1" applyFill="1" applyBorder="1" applyAlignment="1">
      <alignment horizontal="center" vertical="center"/>
    </xf>
    <xf numFmtId="49" fontId="21" fillId="0" borderId="0" xfId="0" applyNumberFormat="1" applyFont="1" applyAlignment="1">
      <alignment horizontal="center" vertical="center"/>
    </xf>
    <xf numFmtId="0" fontId="0" fillId="0" borderId="27" xfId="0" applyBorder="1" applyAlignment="1">
      <alignment horizontal="center"/>
    </xf>
    <xf numFmtId="0" fontId="18" fillId="0" borderId="0" xfId="0" applyFont="1" applyAlignment="1">
      <alignment horizontal="center" vertical="center"/>
    </xf>
    <xf numFmtId="0" fontId="9" fillId="0" borderId="27" xfId="0" applyFont="1" applyBorder="1" applyAlignment="1">
      <alignment horizontal="center"/>
    </xf>
    <xf numFmtId="49" fontId="15" fillId="0" borderId="0" xfId="0" applyNumberFormat="1" applyFont="1" applyAlignment="1">
      <alignment horizontal="left" vertical="center"/>
    </xf>
    <xf numFmtId="0" fontId="0" fillId="0" borderId="27" xfId="0" applyBorder="1" applyAlignment="1">
      <alignment horizontal="center" wrapText="1"/>
    </xf>
    <xf numFmtId="49" fontId="15" fillId="0" borderId="27" xfId="0" applyNumberFormat="1" applyFont="1" applyBorder="1" applyAlignment="1">
      <alignment horizontal="left" wrapText="1"/>
    </xf>
    <xf numFmtId="0" fontId="62" fillId="0" borderId="32" xfId="0" applyFont="1" applyBorder="1" applyAlignment="1">
      <alignment horizontal="center"/>
    </xf>
    <xf numFmtId="0" fontId="62" fillId="0" borderId="33" xfId="0" applyFont="1" applyBorder="1" applyAlignment="1">
      <alignment horizontal="center"/>
    </xf>
    <xf numFmtId="0" fontId="62" fillId="0" borderId="42" xfId="0" applyFont="1" applyBorder="1" applyAlignment="1">
      <alignment horizontal="center"/>
    </xf>
    <xf numFmtId="49" fontId="15" fillId="0" borderId="27" xfId="0" applyNumberFormat="1" applyFont="1" applyBorder="1" applyAlignment="1">
      <alignment horizontal="center" wrapText="1"/>
    </xf>
  </cellXfs>
  <cellStyles count="12">
    <cellStyle name="Comma" xfId="7" builtinId="3"/>
    <cellStyle name="Currency" xfId="1" builtinId="4"/>
    <cellStyle name="Currency 2" xfId="3" xr:uid="{00000000-0005-0000-0000-000001000000}"/>
    <cellStyle name="GroupedCellStyle" xfId="10" xr:uid="{8046CCAC-8298-4E9D-9FA6-CAA4908165F3}"/>
    <cellStyle name="HeaderCellStyle" xfId="9" xr:uid="{F6008183-065C-44FD-B237-D072AB2AD7C8}"/>
    <cellStyle name="Normal" xfId="0" builtinId="0"/>
    <cellStyle name="Normal 2" xfId="2" xr:uid="{00000000-0005-0000-0000-000003000000}"/>
    <cellStyle name="Normal 2 2" xfId="6" xr:uid="{00000000-0005-0000-0000-000004000000}"/>
    <cellStyle name="Normal 3" xfId="5" xr:uid="{00000000-0005-0000-0000-000005000000}"/>
    <cellStyle name="Normal 4" xfId="8" xr:uid="{D25A5135-05EA-455A-8629-C3E8CF7F9551}"/>
    <cellStyle name="Percent" xfId="4" builtinId="5"/>
    <cellStyle name="TotalCellStyle" xfId="11" xr:uid="{E7BC62C7-103B-4008-981E-E3FC545DBD36}"/>
  </cellStyles>
  <dxfs count="0"/>
  <tableStyles count="0" defaultTableStyle="TableStyleMedium9" defaultPivotStyle="PivotStyleLight16"/>
  <colors>
    <mruColors>
      <color rgb="FFEDB323"/>
      <color rgb="FF81FFB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Grant Receivable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047128977298878E-2"/>
          <c:y val="0.17016131091721645"/>
          <c:w val="0.91233286678859793"/>
          <c:h val="0.65507923671703217"/>
        </c:manualLayout>
      </c:layout>
      <c:barChart>
        <c:barDir val="col"/>
        <c:grouping val="clustered"/>
        <c:varyColors val="0"/>
        <c:ser>
          <c:idx val="1"/>
          <c:order val="1"/>
          <c:spPr>
            <a:solidFill>
              <a:schemeClr val="accent2"/>
            </a:solidFill>
            <a:ln>
              <a:noFill/>
            </a:ln>
            <a:effectLst/>
          </c:spPr>
          <c:invertIfNegative val="0"/>
          <c:cat>
            <c:numRef>
              <c:f>Data!$F$567:$F$641</c:f>
              <c:numCache>
                <c:formatCode>mmm\-yy</c:formatCode>
                <c:ptCount val="75"/>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45626</c:v>
                </c:pt>
                <c:pt idx="66">
                  <c:v>45657</c:v>
                </c:pt>
                <c:pt idx="67">
                  <c:v>45688</c:v>
                </c:pt>
                <c:pt idx="68">
                  <c:v>45716</c:v>
                </c:pt>
                <c:pt idx="69">
                  <c:v>45744</c:v>
                </c:pt>
                <c:pt idx="70">
                  <c:v>45772</c:v>
                </c:pt>
                <c:pt idx="71">
                  <c:v>45800</c:v>
                </c:pt>
                <c:pt idx="72">
                  <c:v>45838</c:v>
                </c:pt>
                <c:pt idx="73" formatCode="m/d/yyyy">
                  <c:v>45869</c:v>
                </c:pt>
                <c:pt idx="74" formatCode="m/d/yyyy">
                  <c:v>45900</c:v>
                </c:pt>
              </c:numCache>
            </c:numRef>
          </c:cat>
          <c:val>
            <c:numRef>
              <c:f>Data!$G$567:$G$641</c:f>
              <c:numCache>
                <c:formatCode>"$"#,##0_);[Red]\("$"#,##0\)</c:formatCode>
                <c:ptCount val="75"/>
                <c:pt idx="0">
                  <c:v>271553.78999999998</c:v>
                </c:pt>
                <c:pt idx="1">
                  <c:v>272625.19</c:v>
                </c:pt>
                <c:pt idx="2">
                  <c:v>249105.04</c:v>
                </c:pt>
                <c:pt idx="3">
                  <c:v>224675.57</c:v>
                </c:pt>
                <c:pt idx="4">
                  <c:v>239981.51</c:v>
                </c:pt>
                <c:pt idx="5">
                  <c:v>202465.72</c:v>
                </c:pt>
                <c:pt idx="6">
                  <c:v>298881.24</c:v>
                </c:pt>
                <c:pt idx="7">
                  <c:v>326352.59000000003</c:v>
                </c:pt>
                <c:pt idx="8">
                  <c:v>247842.14</c:v>
                </c:pt>
                <c:pt idx="9">
                  <c:v>256001.05</c:v>
                </c:pt>
                <c:pt idx="10">
                  <c:v>319553.11</c:v>
                </c:pt>
                <c:pt idx="11">
                  <c:v>373887.89</c:v>
                </c:pt>
                <c:pt idx="12">
                  <c:v>387259.9</c:v>
                </c:pt>
                <c:pt idx="13">
                  <c:v>393896.48</c:v>
                </c:pt>
                <c:pt idx="14">
                  <c:v>318622.86</c:v>
                </c:pt>
                <c:pt idx="15">
                  <c:v>310792.11</c:v>
                </c:pt>
                <c:pt idx="16">
                  <c:v>337545.3</c:v>
                </c:pt>
                <c:pt idx="17">
                  <c:v>407385.79</c:v>
                </c:pt>
                <c:pt idx="18">
                  <c:v>325944.61</c:v>
                </c:pt>
                <c:pt idx="19">
                  <c:v>416865.56</c:v>
                </c:pt>
                <c:pt idx="20">
                  <c:v>403762.36</c:v>
                </c:pt>
                <c:pt idx="21">
                  <c:v>218522.99</c:v>
                </c:pt>
                <c:pt idx="22">
                  <c:v>281784.46000000002</c:v>
                </c:pt>
                <c:pt idx="23">
                  <c:v>231705.38</c:v>
                </c:pt>
                <c:pt idx="24">
                  <c:v>254786.13</c:v>
                </c:pt>
                <c:pt idx="25">
                  <c:v>323671.89</c:v>
                </c:pt>
                <c:pt idx="26">
                  <c:v>334383.06</c:v>
                </c:pt>
                <c:pt idx="27">
                  <c:v>325598.5</c:v>
                </c:pt>
                <c:pt idx="28">
                  <c:v>397934.47</c:v>
                </c:pt>
                <c:pt idx="29">
                  <c:v>304557.78000000003</c:v>
                </c:pt>
                <c:pt idx="30">
                  <c:v>339829.81</c:v>
                </c:pt>
                <c:pt idx="31">
                  <c:v>483670.84</c:v>
                </c:pt>
                <c:pt idx="32">
                  <c:v>403181.63</c:v>
                </c:pt>
                <c:pt idx="33">
                  <c:v>315833.28999999998</c:v>
                </c:pt>
                <c:pt idx="34">
                  <c:v>327170</c:v>
                </c:pt>
                <c:pt idx="35">
                  <c:v>246847.16</c:v>
                </c:pt>
                <c:pt idx="36">
                  <c:v>274391.32</c:v>
                </c:pt>
                <c:pt idx="37">
                  <c:v>311473.07</c:v>
                </c:pt>
                <c:pt idx="38">
                  <c:v>246923.1</c:v>
                </c:pt>
                <c:pt idx="39">
                  <c:v>214783.77</c:v>
                </c:pt>
                <c:pt idx="40">
                  <c:v>264786.40999999997</c:v>
                </c:pt>
                <c:pt idx="41">
                  <c:v>290727.87</c:v>
                </c:pt>
                <c:pt idx="42">
                  <c:v>362006.45</c:v>
                </c:pt>
                <c:pt idx="43">
                  <c:v>494072.83</c:v>
                </c:pt>
                <c:pt idx="44">
                  <c:v>399857.44</c:v>
                </c:pt>
                <c:pt idx="45">
                  <c:v>279188.34999999998</c:v>
                </c:pt>
                <c:pt idx="46">
                  <c:v>302008.53000000003</c:v>
                </c:pt>
                <c:pt idx="47">
                  <c:v>222544.3</c:v>
                </c:pt>
                <c:pt idx="48">
                  <c:v>303528.63</c:v>
                </c:pt>
                <c:pt idx="49">
                  <c:v>279453.21999999997</c:v>
                </c:pt>
                <c:pt idx="50">
                  <c:v>235427.62</c:v>
                </c:pt>
                <c:pt idx="51">
                  <c:v>301323.59999999998</c:v>
                </c:pt>
                <c:pt idx="52">
                  <c:v>355947.69</c:v>
                </c:pt>
                <c:pt idx="53">
                  <c:v>269865.12</c:v>
                </c:pt>
                <c:pt idx="54">
                  <c:v>266721.90000000002</c:v>
                </c:pt>
                <c:pt idx="55">
                  <c:v>413322.14</c:v>
                </c:pt>
                <c:pt idx="56">
                  <c:v>390662.21</c:v>
                </c:pt>
                <c:pt idx="57">
                  <c:v>280467.3</c:v>
                </c:pt>
                <c:pt idx="58">
                  <c:v>323205.53000000003</c:v>
                </c:pt>
                <c:pt idx="59">
                  <c:v>275004.96000000002</c:v>
                </c:pt>
                <c:pt idx="60">
                  <c:v>296378.64</c:v>
                </c:pt>
                <c:pt idx="61">
                  <c:v>336121.66</c:v>
                </c:pt>
                <c:pt idx="62">
                  <c:v>323670.74</c:v>
                </c:pt>
                <c:pt idx="63">
                  <c:v>343331.81</c:v>
                </c:pt>
                <c:pt idx="64">
                  <c:v>340527.2</c:v>
                </c:pt>
                <c:pt idx="65">
                  <c:v>365969</c:v>
                </c:pt>
                <c:pt idx="66">
                  <c:v>282364</c:v>
                </c:pt>
                <c:pt idx="67">
                  <c:v>399502</c:v>
                </c:pt>
                <c:pt idx="68">
                  <c:v>339403</c:v>
                </c:pt>
                <c:pt idx="69">
                  <c:v>276810.65000000002</c:v>
                </c:pt>
                <c:pt idx="70">
                  <c:v>358247.98</c:v>
                </c:pt>
                <c:pt idx="71">
                  <c:v>293255.53000000003</c:v>
                </c:pt>
                <c:pt idx="72">
                  <c:v>335133</c:v>
                </c:pt>
                <c:pt idx="73">
                  <c:v>377557</c:v>
                </c:pt>
                <c:pt idx="74">
                  <c:v>283347</c:v>
                </c:pt>
              </c:numCache>
            </c:numRef>
          </c:val>
          <c:extLst>
            <c:ext xmlns:c16="http://schemas.microsoft.com/office/drawing/2014/chart" uri="{C3380CC4-5D6E-409C-BE32-E72D297353CC}">
              <c16:uniqueId val="{00000000-8E55-471D-8593-C79234B0FC70}"/>
            </c:ext>
          </c:extLst>
        </c:ser>
        <c:dLbls>
          <c:showLegendKey val="0"/>
          <c:showVal val="0"/>
          <c:showCatName val="0"/>
          <c:showSerName val="0"/>
          <c:showPercent val="0"/>
          <c:showBubbleSize val="0"/>
        </c:dLbls>
        <c:gapWidth val="243"/>
        <c:overlap val="-83"/>
        <c:axId val="416922264"/>
        <c:axId val="416922656"/>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Data!$F$567:$F$641</c15:sqref>
                        </c15:formulaRef>
                      </c:ext>
                    </c:extLst>
                    <c:numCache>
                      <c:formatCode>mmm\-yy</c:formatCode>
                      <c:ptCount val="75"/>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45626</c:v>
                      </c:pt>
                      <c:pt idx="66">
                        <c:v>45657</c:v>
                      </c:pt>
                      <c:pt idx="67">
                        <c:v>45688</c:v>
                      </c:pt>
                      <c:pt idx="68">
                        <c:v>45716</c:v>
                      </c:pt>
                      <c:pt idx="69">
                        <c:v>45744</c:v>
                      </c:pt>
                      <c:pt idx="70">
                        <c:v>45772</c:v>
                      </c:pt>
                      <c:pt idx="71">
                        <c:v>45800</c:v>
                      </c:pt>
                      <c:pt idx="72">
                        <c:v>45838</c:v>
                      </c:pt>
                      <c:pt idx="73" formatCode="m/d/yyyy">
                        <c:v>45869</c:v>
                      </c:pt>
                      <c:pt idx="74" formatCode="m/d/yyyy">
                        <c:v>45900</c:v>
                      </c:pt>
                    </c:numCache>
                  </c:numRef>
                </c:cat>
                <c:val>
                  <c:numRef>
                    <c:extLst>
                      <c:ext uri="{02D57815-91ED-43cb-92C2-25804820EDAC}">
                        <c15:formulaRef>
                          <c15:sqref>Data!$F$567:$F$641</c15:sqref>
                        </c15:formulaRef>
                      </c:ext>
                    </c:extLst>
                    <c:numCache>
                      <c:formatCode>mmm\-yy</c:formatCode>
                      <c:ptCount val="75"/>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45626</c:v>
                      </c:pt>
                      <c:pt idx="66">
                        <c:v>45657</c:v>
                      </c:pt>
                      <c:pt idx="67">
                        <c:v>45688</c:v>
                      </c:pt>
                      <c:pt idx="68">
                        <c:v>45716</c:v>
                      </c:pt>
                      <c:pt idx="69">
                        <c:v>45744</c:v>
                      </c:pt>
                      <c:pt idx="70">
                        <c:v>45772</c:v>
                      </c:pt>
                      <c:pt idx="71">
                        <c:v>45800</c:v>
                      </c:pt>
                      <c:pt idx="72">
                        <c:v>45838</c:v>
                      </c:pt>
                      <c:pt idx="73" formatCode="m/d/yyyy">
                        <c:v>45869</c:v>
                      </c:pt>
                      <c:pt idx="74" formatCode="m/d/yyyy">
                        <c:v>45900</c:v>
                      </c:pt>
                    </c:numCache>
                  </c:numRef>
                </c:val>
                <c:extLst>
                  <c:ext xmlns:c16="http://schemas.microsoft.com/office/drawing/2014/chart" uri="{C3380CC4-5D6E-409C-BE32-E72D297353CC}">
                    <c16:uniqueId val="{00000000-F012-4B51-AFCB-B0F5FFD2CD65}"/>
                  </c:ext>
                </c:extLst>
              </c15:ser>
            </c15:filteredBarSeries>
          </c:ext>
        </c:extLst>
      </c:barChart>
      <c:dateAx>
        <c:axId val="416922264"/>
        <c:scaling>
          <c:orientation val="minMax"/>
          <c:max val="45870"/>
          <c:min val="4370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22656"/>
        <c:crosses val="autoZero"/>
        <c:auto val="1"/>
        <c:lblOffset val="100"/>
        <c:baseTimeUnit val="months"/>
        <c:majorUnit val="2"/>
        <c:majorTimeUnit val="months"/>
        <c:minorUnit val="1"/>
        <c:minorTimeUnit val="months"/>
      </c:dateAx>
      <c:valAx>
        <c:axId val="4169226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22264"/>
        <c:crossesAt val="43708"/>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a:t>
            </a:r>
            <a:r>
              <a:rPr lang="en-US" baseline="0"/>
              <a:t> Investment Balance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Data!$J$530:$J$641</c:f>
              <c:numCache>
                <c:formatCode>mmm\-yy</c:formatCode>
                <c:ptCount val="112"/>
                <c:pt idx="0">
                  <c:v>42491</c:v>
                </c:pt>
                <c:pt idx="1">
                  <c:v>42551</c:v>
                </c:pt>
                <c:pt idx="2">
                  <c:v>42582</c:v>
                </c:pt>
                <c:pt idx="3">
                  <c:v>42583</c:v>
                </c:pt>
                <c:pt idx="4">
                  <c:v>42614</c:v>
                </c:pt>
                <c:pt idx="5">
                  <c:v>42644</c:v>
                </c:pt>
                <c:pt idx="6">
                  <c:v>42675</c:v>
                </c:pt>
                <c:pt idx="7">
                  <c:v>42705</c:v>
                </c:pt>
                <c:pt idx="8">
                  <c:v>42736</c:v>
                </c:pt>
                <c:pt idx="9">
                  <c:v>42767</c:v>
                </c:pt>
                <c:pt idx="10">
                  <c:v>42795</c:v>
                </c:pt>
                <c:pt idx="11">
                  <c:v>42826</c:v>
                </c:pt>
                <c:pt idx="12">
                  <c:v>42856</c:v>
                </c:pt>
                <c:pt idx="13">
                  <c:v>42887</c:v>
                </c:pt>
                <c:pt idx="14">
                  <c:v>42917</c:v>
                </c:pt>
                <c:pt idx="15">
                  <c:v>42948</c:v>
                </c:pt>
                <c:pt idx="16">
                  <c:v>42979</c:v>
                </c:pt>
                <c:pt idx="17">
                  <c:v>43009</c:v>
                </c:pt>
                <c:pt idx="18">
                  <c:v>43040</c:v>
                </c:pt>
                <c:pt idx="19">
                  <c:v>43070</c:v>
                </c:pt>
                <c:pt idx="20">
                  <c:v>43101</c:v>
                </c:pt>
                <c:pt idx="21">
                  <c:v>43132</c:v>
                </c:pt>
                <c:pt idx="22">
                  <c:v>43160</c:v>
                </c:pt>
                <c:pt idx="23">
                  <c:v>43191</c:v>
                </c:pt>
                <c:pt idx="24">
                  <c:v>43221</c:v>
                </c:pt>
                <c:pt idx="25">
                  <c:v>43252</c:v>
                </c:pt>
                <c:pt idx="26">
                  <c:v>43282</c:v>
                </c:pt>
                <c:pt idx="27">
                  <c:v>43313</c:v>
                </c:pt>
                <c:pt idx="28">
                  <c:v>43344</c:v>
                </c:pt>
                <c:pt idx="29">
                  <c:v>43374</c:v>
                </c:pt>
                <c:pt idx="30">
                  <c:v>43405</c:v>
                </c:pt>
                <c:pt idx="31">
                  <c:v>43435</c:v>
                </c:pt>
                <c:pt idx="32">
                  <c:v>43466</c:v>
                </c:pt>
                <c:pt idx="33">
                  <c:v>43497</c:v>
                </c:pt>
                <c:pt idx="34">
                  <c:v>43525</c:v>
                </c:pt>
                <c:pt idx="35">
                  <c:v>43556</c:v>
                </c:pt>
                <c:pt idx="36">
                  <c:v>43586</c:v>
                </c:pt>
                <c:pt idx="37">
                  <c:v>43617</c:v>
                </c:pt>
                <c:pt idx="38">
                  <c:v>43647</c:v>
                </c:pt>
                <c:pt idx="39">
                  <c:v>43678</c:v>
                </c:pt>
                <c:pt idx="40">
                  <c:v>43709</c:v>
                </c:pt>
                <c:pt idx="41">
                  <c:v>43739</c:v>
                </c:pt>
                <c:pt idx="42">
                  <c:v>43770</c:v>
                </c:pt>
                <c:pt idx="43">
                  <c:v>43800</c:v>
                </c:pt>
                <c:pt idx="44">
                  <c:v>43831</c:v>
                </c:pt>
                <c:pt idx="45">
                  <c:v>43862</c:v>
                </c:pt>
                <c:pt idx="46">
                  <c:v>43891</c:v>
                </c:pt>
                <c:pt idx="47">
                  <c:v>43922</c:v>
                </c:pt>
                <c:pt idx="48">
                  <c:v>43952</c:v>
                </c:pt>
                <c:pt idx="49">
                  <c:v>43983</c:v>
                </c:pt>
                <c:pt idx="50">
                  <c:v>44013</c:v>
                </c:pt>
                <c:pt idx="51">
                  <c:v>44044</c:v>
                </c:pt>
                <c:pt idx="52">
                  <c:v>44075</c:v>
                </c:pt>
                <c:pt idx="53">
                  <c:v>44105</c:v>
                </c:pt>
                <c:pt idx="54">
                  <c:v>44136</c:v>
                </c:pt>
                <c:pt idx="55">
                  <c:v>44166</c:v>
                </c:pt>
                <c:pt idx="56">
                  <c:v>44197</c:v>
                </c:pt>
                <c:pt idx="57">
                  <c:v>44228</c:v>
                </c:pt>
                <c:pt idx="58">
                  <c:v>44256</c:v>
                </c:pt>
                <c:pt idx="59">
                  <c:v>44287</c:v>
                </c:pt>
                <c:pt idx="60">
                  <c:v>44317</c:v>
                </c:pt>
                <c:pt idx="61">
                  <c:v>44348</c:v>
                </c:pt>
                <c:pt idx="62">
                  <c:v>44378</c:v>
                </c:pt>
                <c:pt idx="63">
                  <c:v>44409</c:v>
                </c:pt>
                <c:pt idx="64">
                  <c:v>44440</c:v>
                </c:pt>
                <c:pt idx="65">
                  <c:v>44470</c:v>
                </c:pt>
                <c:pt idx="66">
                  <c:v>44501</c:v>
                </c:pt>
                <c:pt idx="67">
                  <c:v>44531</c:v>
                </c:pt>
                <c:pt idx="68">
                  <c:v>44562</c:v>
                </c:pt>
                <c:pt idx="69">
                  <c:v>44593</c:v>
                </c:pt>
                <c:pt idx="70">
                  <c:v>44621</c:v>
                </c:pt>
                <c:pt idx="71">
                  <c:v>44652</c:v>
                </c:pt>
                <c:pt idx="72">
                  <c:v>44682</c:v>
                </c:pt>
                <c:pt idx="73">
                  <c:v>44713</c:v>
                </c:pt>
                <c:pt idx="74">
                  <c:v>44743</c:v>
                </c:pt>
                <c:pt idx="75">
                  <c:v>44774</c:v>
                </c:pt>
                <c:pt idx="76">
                  <c:v>44805</c:v>
                </c:pt>
                <c:pt idx="77">
                  <c:v>44835</c:v>
                </c:pt>
                <c:pt idx="78">
                  <c:v>44866</c:v>
                </c:pt>
                <c:pt idx="79">
                  <c:v>44896</c:v>
                </c:pt>
                <c:pt idx="80">
                  <c:v>44927</c:v>
                </c:pt>
                <c:pt idx="81">
                  <c:v>44958</c:v>
                </c:pt>
                <c:pt idx="82">
                  <c:v>44986</c:v>
                </c:pt>
                <c:pt idx="83">
                  <c:v>45017</c:v>
                </c:pt>
                <c:pt idx="84">
                  <c:v>45047</c:v>
                </c:pt>
                <c:pt idx="85">
                  <c:v>45078</c:v>
                </c:pt>
                <c:pt idx="86">
                  <c:v>45108</c:v>
                </c:pt>
                <c:pt idx="87">
                  <c:v>45139</c:v>
                </c:pt>
                <c:pt idx="88">
                  <c:v>45170</c:v>
                </c:pt>
                <c:pt idx="89">
                  <c:v>45200</c:v>
                </c:pt>
                <c:pt idx="90">
                  <c:v>45231</c:v>
                </c:pt>
                <c:pt idx="91">
                  <c:v>45261</c:v>
                </c:pt>
                <c:pt idx="92">
                  <c:v>45292</c:v>
                </c:pt>
                <c:pt idx="93">
                  <c:v>45323</c:v>
                </c:pt>
                <c:pt idx="94">
                  <c:v>45352</c:v>
                </c:pt>
                <c:pt idx="95">
                  <c:v>45383</c:v>
                </c:pt>
                <c:pt idx="96">
                  <c:v>45413</c:v>
                </c:pt>
                <c:pt idx="97">
                  <c:v>45444</c:v>
                </c:pt>
                <c:pt idx="98">
                  <c:v>45474</c:v>
                </c:pt>
                <c:pt idx="99">
                  <c:v>45505</c:v>
                </c:pt>
                <c:pt idx="100">
                  <c:v>45536</c:v>
                </c:pt>
                <c:pt idx="101">
                  <c:v>45566</c:v>
                </c:pt>
                <c:pt idx="102">
                  <c:v>45626</c:v>
                </c:pt>
                <c:pt idx="103">
                  <c:v>45657</c:v>
                </c:pt>
                <c:pt idx="104">
                  <c:v>45688</c:v>
                </c:pt>
                <c:pt idx="105">
                  <c:v>45716</c:v>
                </c:pt>
                <c:pt idx="106">
                  <c:v>45744</c:v>
                </c:pt>
                <c:pt idx="107">
                  <c:v>45772</c:v>
                </c:pt>
                <c:pt idx="108">
                  <c:v>45800</c:v>
                </c:pt>
                <c:pt idx="109">
                  <c:v>45828</c:v>
                </c:pt>
                <c:pt idx="110">
                  <c:v>45856</c:v>
                </c:pt>
                <c:pt idx="111">
                  <c:v>45884</c:v>
                </c:pt>
              </c:numCache>
            </c:numRef>
          </c:cat>
          <c:val>
            <c:numRef>
              <c:f>Data!$K$530:$K$641</c:f>
              <c:numCache>
                <c:formatCode>_("$"* #,##0_);_("$"* \(#,##0\);_("$"* "-"_);_(@_)</c:formatCode>
                <c:ptCount val="112"/>
                <c:pt idx="0">
                  <c:v>151087.09</c:v>
                </c:pt>
                <c:pt idx="1">
                  <c:v>151336.84</c:v>
                </c:pt>
                <c:pt idx="2">
                  <c:v>151611.29999999999</c:v>
                </c:pt>
                <c:pt idx="3">
                  <c:v>151776.70000000001</c:v>
                </c:pt>
                <c:pt idx="4">
                  <c:v>151844.44</c:v>
                </c:pt>
                <c:pt idx="5">
                  <c:v>152036.04</c:v>
                </c:pt>
                <c:pt idx="6">
                  <c:v>152464.91</c:v>
                </c:pt>
                <c:pt idx="7">
                  <c:v>154533.13</c:v>
                </c:pt>
                <c:pt idx="8">
                  <c:v>155633.59</c:v>
                </c:pt>
                <c:pt idx="9">
                  <c:v>158448.25</c:v>
                </c:pt>
                <c:pt idx="10">
                  <c:v>159113.29</c:v>
                </c:pt>
                <c:pt idx="11">
                  <c:v>159614.53</c:v>
                </c:pt>
                <c:pt idx="12">
                  <c:v>160436.21</c:v>
                </c:pt>
                <c:pt idx="13">
                  <c:v>160443.22</c:v>
                </c:pt>
                <c:pt idx="14">
                  <c:v>161526.35999999999</c:v>
                </c:pt>
                <c:pt idx="15">
                  <c:v>162013.01</c:v>
                </c:pt>
                <c:pt idx="16">
                  <c:v>163493.49</c:v>
                </c:pt>
                <c:pt idx="17">
                  <c:v>164090.28</c:v>
                </c:pt>
                <c:pt idx="18">
                  <c:v>164908.01</c:v>
                </c:pt>
                <c:pt idx="19">
                  <c:v>164937.87</c:v>
                </c:pt>
                <c:pt idx="20">
                  <c:v>167966.33</c:v>
                </c:pt>
                <c:pt idx="21">
                  <c:v>164746.72</c:v>
                </c:pt>
                <c:pt idx="22">
                  <c:v>163400.39000000001</c:v>
                </c:pt>
                <c:pt idx="23">
                  <c:v>163874.63</c:v>
                </c:pt>
                <c:pt idx="24">
                  <c:v>165109.67000000001</c:v>
                </c:pt>
                <c:pt idx="25">
                  <c:v>164894.5</c:v>
                </c:pt>
                <c:pt idx="26">
                  <c:v>168308.43</c:v>
                </c:pt>
                <c:pt idx="27">
                  <c:v>169314.31</c:v>
                </c:pt>
                <c:pt idx="28">
                  <c:v>170138.99</c:v>
                </c:pt>
                <c:pt idx="29">
                  <c:v>164332.01</c:v>
                </c:pt>
                <c:pt idx="30">
                  <c:v>166031.76999999999</c:v>
                </c:pt>
                <c:pt idx="31">
                  <c:v>159621.23000000001</c:v>
                </c:pt>
                <c:pt idx="32">
                  <c:v>166873.93</c:v>
                </c:pt>
                <c:pt idx="33">
                  <c:v>170486.28</c:v>
                </c:pt>
                <c:pt idx="34">
                  <c:v>171537.16</c:v>
                </c:pt>
                <c:pt idx="35">
                  <c:v>174601.21</c:v>
                </c:pt>
                <c:pt idx="36">
                  <c:v>169831.32</c:v>
                </c:pt>
                <c:pt idx="37">
                  <c:v>175962.43</c:v>
                </c:pt>
                <c:pt idx="38">
                  <c:v>176392.07</c:v>
                </c:pt>
                <c:pt idx="39">
                  <c:v>174581</c:v>
                </c:pt>
                <c:pt idx="40">
                  <c:v>175832.82</c:v>
                </c:pt>
                <c:pt idx="41">
                  <c:v>176684.91</c:v>
                </c:pt>
                <c:pt idx="42">
                  <c:v>180686.55</c:v>
                </c:pt>
                <c:pt idx="43">
                  <c:v>184417.26</c:v>
                </c:pt>
                <c:pt idx="44">
                  <c:v>186588.03</c:v>
                </c:pt>
                <c:pt idx="45">
                  <c:v>177685.24</c:v>
                </c:pt>
                <c:pt idx="46">
                  <c:v>162398.81</c:v>
                </c:pt>
                <c:pt idx="47">
                  <c:v>175055.83</c:v>
                </c:pt>
                <c:pt idx="48">
                  <c:v>180640.71</c:v>
                </c:pt>
                <c:pt idx="49">
                  <c:v>183627.14</c:v>
                </c:pt>
                <c:pt idx="50">
                  <c:v>191310.14</c:v>
                </c:pt>
                <c:pt idx="51">
                  <c:v>196731.42</c:v>
                </c:pt>
                <c:pt idx="52">
                  <c:v>192424.98</c:v>
                </c:pt>
                <c:pt idx="53">
                  <c:v>189044.54</c:v>
                </c:pt>
                <c:pt idx="54">
                  <c:v>201253.81</c:v>
                </c:pt>
                <c:pt idx="55">
                  <c:v>206549.06</c:v>
                </c:pt>
                <c:pt idx="56">
                  <c:v>204163.62</c:v>
                </c:pt>
                <c:pt idx="57">
                  <c:v>207045.8</c:v>
                </c:pt>
                <c:pt idx="58">
                  <c:v>211866.05</c:v>
                </c:pt>
                <c:pt idx="59">
                  <c:v>218448.38</c:v>
                </c:pt>
                <c:pt idx="60">
                  <c:v>222185</c:v>
                </c:pt>
                <c:pt idx="61">
                  <c:v>222449.07</c:v>
                </c:pt>
                <c:pt idx="62">
                  <c:v>325177.46999999997</c:v>
                </c:pt>
                <c:pt idx="63">
                  <c:v>329419.45</c:v>
                </c:pt>
                <c:pt idx="64">
                  <c:v>318755.06</c:v>
                </c:pt>
                <c:pt idx="65">
                  <c:v>329502.62</c:v>
                </c:pt>
                <c:pt idx="66">
                  <c:v>323833.99</c:v>
                </c:pt>
                <c:pt idx="67">
                  <c:v>334446.53999999998</c:v>
                </c:pt>
                <c:pt idx="68">
                  <c:v>323933.77</c:v>
                </c:pt>
                <c:pt idx="69">
                  <c:v>319586.55</c:v>
                </c:pt>
                <c:pt idx="70">
                  <c:v>422621.04</c:v>
                </c:pt>
                <c:pt idx="71">
                  <c:v>399826.35</c:v>
                </c:pt>
                <c:pt idx="72">
                  <c:v>404182.26</c:v>
                </c:pt>
                <c:pt idx="73">
                  <c:v>378955.05</c:v>
                </c:pt>
                <c:pt idx="74">
                  <c:v>395341.91</c:v>
                </c:pt>
                <c:pt idx="75">
                  <c:v>382796.02</c:v>
                </c:pt>
                <c:pt idx="76">
                  <c:v>357259.36</c:v>
                </c:pt>
                <c:pt idx="77">
                  <c:v>374993.63</c:v>
                </c:pt>
                <c:pt idx="78">
                  <c:v>396685.21</c:v>
                </c:pt>
                <c:pt idx="79">
                  <c:v>385734.14</c:v>
                </c:pt>
                <c:pt idx="80">
                  <c:v>402326.67</c:v>
                </c:pt>
                <c:pt idx="81">
                  <c:v>390206.58</c:v>
                </c:pt>
                <c:pt idx="82">
                  <c:v>396440.66</c:v>
                </c:pt>
                <c:pt idx="83">
                  <c:v>401182.89</c:v>
                </c:pt>
                <c:pt idx="84">
                  <c:v>393246.23</c:v>
                </c:pt>
                <c:pt idx="85">
                  <c:v>408061</c:v>
                </c:pt>
                <c:pt idx="86">
                  <c:v>417521.72</c:v>
                </c:pt>
                <c:pt idx="87">
                  <c:v>410999.58</c:v>
                </c:pt>
                <c:pt idx="88">
                  <c:v>396973.48</c:v>
                </c:pt>
                <c:pt idx="89">
                  <c:v>389315.86</c:v>
                </c:pt>
                <c:pt idx="90">
                  <c:v>415432.2</c:v>
                </c:pt>
                <c:pt idx="91">
                  <c:v>434275.6</c:v>
                </c:pt>
                <c:pt idx="92">
                  <c:v>437155.38</c:v>
                </c:pt>
                <c:pt idx="93">
                  <c:v>449092.16</c:v>
                </c:pt>
                <c:pt idx="94">
                  <c:v>465124.12</c:v>
                </c:pt>
                <c:pt idx="95">
                  <c:v>451645.99</c:v>
                </c:pt>
                <c:pt idx="96">
                  <c:v>467250.63</c:v>
                </c:pt>
                <c:pt idx="97">
                  <c:v>470492.77</c:v>
                </c:pt>
                <c:pt idx="98">
                  <c:v>484002.05</c:v>
                </c:pt>
                <c:pt idx="99">
                  <c:v>493219.34</c:v>
                </c:pt>
                <c:pt idx="100">
                  <c:v>497198.08000000002</c:v>
                </c:pt>
                <c:pt idx="101">
                  <c:v>490263.8</c:v>
                </c:pt>
                <c:pt idx="102">
                  <c:v>505649.74</c:v>
                </c:pt>
                <c:pt idx="103">
                  <c:v>485756.8</c:v>
                </c:pt>
                <c:pt idx="104">
                  <c:v>500919</c:v>
                </c:pt>
                <c:pt idx="105">
                  <c:v>501419.62</c:v>
                </c:pt>
                <c:pt idx="106">
                  <c:v>523071</c:v>
                </c:pt>
                <c:pt idx="107">
                  <c:v>488599.41</c:v>
                </c:pt>
                <c:pt idx="108">
                  <c:v>506406</c:v>
                </c:pt>
                <c:pt idx="109">
                  <c:v>523071</c:v>
                </c:pt>
                <c:pt idx="110">
                  <c:v>524794</c:v>
                </c:pt>
                <c:pt idx="111">
                  <c:v>541378.89</c:v>
                </c:pt>
              </c:numCache>
            </c:numRef>
          </c:val>
          <c:smooth val="0"/>
          <c:extLst>
            <c:ext xmlns:c16="http://schemas.microsoft.com/office/drawing/2014/chart" uri="{C3380CC4-5D6E-409C-BE32-E72D297353CC}">
              <c16:uniqueId val="{00000000-B68C-49E0-8DA3-2E95BDE36309}"/>
            </c:ext>
          </c:extLst>
        </c:ser>
        <c:dLbls>
          <c:showLegendKey val="0"/>
          <c:showVal val="0"/>
          <c:showCatName val="0"/>
          <c:showSerName val="0"/>
          <c:showPercent val="0"/>
          <c:showBubbleSize val="0"/>
        </c:dLbls>
        <c:smooth val="0"/>
        <c:axId val="1346313151"/>
        <c:axId val="1344718351"/>
      </c:lineChart>
      <c:dateAx>
        <c:axId val="1346313151"/>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718351"/>
        <c:crosses val="autoZero"/>
        <c:auto val="1"/>
        <c:lblOffset val="100"/>
        <c:baseTimeUnit val="days"/>
      </c:dateAx>
      <c:valAx>
        <c:axId val="134471835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3131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a:t>
            </a:r>
          </a:p>
        </c:rich>
      </c:tx>
      <c:layout>
        <c:manualLayout>
          <c:xMode val="edge"/>
          <c:yMode val="edge"/>
          <c:x val="0.4756906105548806"/>
          <c:y val="3.75586965535311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2933966710437078E-2"/>
          <c:y val="7.9211291031397318E-2"/>
          <c:w val="0.90369477408947463"/>
          <c:h val="0.72682317897990578"/>
        </c:manualLayout>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Sheet1!$C$46:$C$2986</c15:sqref>
                  </c15:fullRef>
                </c:ext>
              </c:extLst>
              <c:f>(Sheet1!$C$46,Sheet1!$C$68:$C$2986)</c:f>
              <c:strCache>
                <c:ptCount val="2920"/>
                <c:pt idx="0">
                  <c:v>3/1/2016</c:v>
                </c:pt>
                <c:pt idx="1">
                  <c:v>3/31/2016</c:v>
                </c:pt>
                <c:pt idx="2">
                  <c:v>4/1/2016</c:v>
                </c:pt>
                <c:pt idx="3">
                  <c:v>4/4/2016</c:v>
                </c:pt>
                <c:pt idx="4">
                  <c:v>4/5/2016</c:v>
                </c:pt>
                <c:pt idx="5">
                  <c:v>4/6/2016</c:v>
                </c:pt>
                <c:pt idx="6">
                  <c:v>4/7/2016</c:v>
                </c:pt>
                <c:pt idx="7">
                  <c:v>4/8/2016</c:v>
                </c:pt>
                <c:pt idx="8">
                  <c:v>4/11/2016</c:v>
                </c:pt>
                <c:pt idx="9">
                  <c:v>4/12/2016</c:v>
                </c:pt>
                <c:pt idx="10">
                  <c:v>4/13/2016</c:v>
                </c:pt>
                <c:pt idx="11">
                  <c:v>4/14/2016</c:v>
                </c:pt>
                <c:pt idx="12">
                  <c:v>4/15/2016</c:v>
                </c:pt>
                <c:pt idx="13">
                  <c:v>4/18/2016</c:v>
                </c:pt>
                <c:pt idx="14">
                  <c:v>4/19/2016</c:v>
                </c:pt>
                <c:pt idx="15">
                  <c:v>4/20/2016</c:v>
                </c:pt>
                <c:pt idx="16">
                  <c:v>4/21/2016</c:v>
                </c:pt>
                <c:pt idx="17">
                  <c:v>4/22/2016</c:v>
                </c:pt>
                <c:pt idx="18">
                  <c:v>4/25/2016</c:v>
                </c:pt>
                <c:pt idx="19">
                  <c:v>4/26/2016</c:v>
                </c:pt>
                <c:pt idx="20">
                  <c:v>4/27/2016</c:v>
                </c:pt>
                <c:pt idx="21">
                  <c:v>4/28/2016</c:v>
                </c:pt>
                <c:pt idx="22">
                  <c:v>4/29/2016</c:v>
                </c:pt>
                <c:pt idx="23">
                  <c:v>5/2/2016</c:v>
                </c:pt>
                <c:pt idx="24">
                  <c:v>5/3/2016</c:v>
                </c:pt>
                <c:pt idx="25">
                  <c:v>5/4/2016</c:v>
                </c:pt>
                <c:pt idx="26">
                  <c:v>5/5/2016</c:v>
                </c:pt>
                <c:pt idx="27">
                  <c:v>5/6/2016</c:v>
                </c:pt>
                <c:pt idx="28">
                  <c:v>5/9/2016</c:v>
                </c:pt>
                <c:pt idx="29">
                  <c:v>5/10/2016</c:v>
                </c:pt>
                <c:pt idx="30">
                  <c:v>5/11/2016</c:v>
                </c:pt>
                <c:pt idx="31">
                  <c:v>5/12/2016</c:v>
                </c:pt>
                <c:pt idx="32">
                  <c:v>5/13/2016</c:v>
                </c:pt>
                <c:pt idx="33">
                  <c:v>5/16/2016</c:v>
                </c:pt>
                <c:pt idx="34">
                  <c:v>5/17/2016</c:v>
                </c:pt>
                <c:pt idx="35">
                  <c:v>5/18/2016</c:v>
                </c:pt>
                <c:pt idx="36">
                  <c:v>5/19/2016</c:v>
                </c:pt>
                <c:pt idx="37">
                  <c:v>5/20/2016</c:v>
                </c:pt>
                <c:pt idx="38">
                  <c:v>5/23/2016</c:v>
                </c:pt>
                <c:pt idx="39">
                  <c:v>5/24/2016</c:v>
                </c:pt>
                <c:pt idx="40">
                  <c:v>5/25/2016</c:v>
                </c:pt>
                <c:pt idx="41">
                  <c:v>5/26/2016</c:v>
                </c:pt>
                <c:pt idx="42">
                  <c:v>5/27/2016</c:v>
                </c:pt>
                <c:pt idx="43">
                  <c:v>5/30/2016</c:v>
                </c:pt>
                <c:pt idx="44">
                  <c:v>5/31/2016</c:v>
                </c:pt>
                <c:pt idx="45">
                  <c:v>6/1/2016</c:v>
                </c:pt>
                <c:pt idx="46">
                  <c:v>6/2/2016</c:v>
                </c:pt>
                <c:pt idx="47">
                  <c:v>6/3/2016</c:v>
                </c:pt>
                <c:pt idx="48">
                  <c:v>6/6/2016</c:v>
                </c:pt>
                <c:pt idx="49">
                  <c:v>6/7/2016</c:v>
                </c:pt>
                <c:pt idx="50">
                  <c:v>6/8/2016</c:v>
                </c:pt>
                <c:pt idx="51">
                  <c:v>6/9/2016</c:v>
                </c:pt>
                <c:pt idx="52">
                  <c:v>6/10/2016</c:v>
                </c:pt>
                <c:pt idx="53">
                  <c:v>6/13/2016</c:v>
                </c:pt>
                <c:pt idx="54">
                  <c:v>6/14/2016</c:v>
                </c:pt>
                <c:pt idx="55">
                  <c:v>6/15/2016</c:v>
                </c:pt>
                <c:pt idx="56">
                  <c:v>6/16/2016</c:v>
                </c:pt>
                <c:pt idx="57">
                  <c:v>6/17/2016</c:v>
                </c:pt>
                <c:pt idx="58">
                  <c:v>6/20/2016</c:v>
                </c:pt>
                <c:pt idx="59">
                  <c:v>6/21/2016</c:v>
                </c:pt>
                <c:pt idx="60">
                  <c:v>6/22/2016</c:v>
                </c:pt>
                <c:pt idx="61">
                  <c:v>6/23/2016</c:v>
                </c:pt>
                <c:pt idx="62">
                  <c:v>6/24/2016</c:v>
                </c:pt>
                <c:pt idx="63">
                  <c:v>6/27/2016</c:v>
                </c:pt>
                <c:pt idx="64">
                  <c:v>6/28/2016</c:v>
                </c:pt>
                <c:pt idx="65">
                  <c:v>6/29/2016</c:v>
                </c:pt>
                <c:pt idx="66">
                  <c:v>6/30/2016</c:v>
                </c:pt>
                <c:pt idx="67">
                  <c:v>7/1/2016</c:v>
                </c:pt>
                <c:pt idx="68">
                  <c:v>7/4/2016</c:v>
                </c:pt>
                <c:pt idx="69">
                  <c:v>7/5/2016</c:v>
                </c:pt>
                <c:pt idx="70">
                  <c:v>7/6/2016</c:v>
                </c:pt>
                <c:pt idx="71">
                  <c:v>7/7/2016</c:v>
                </c:pt>
                <c:pt idx="72">
                  <c:v>7/8/2016</c:v>
                </c:pt>
                <c:pt idx="73">
                  <c:v>7/11/2016</c:v>
                </c:pt>
                <c:pt idx="74">
                  <c:v>7/12/2016</c:v>
                </c:pt>
                <c:pt idx="75">
                  <c:v>7/13/2016</c:v>
                </c:pt>
                <c:pt idx="76">
                  <c:v>7/14/2016</c:v>
                </c:pt>
                <c:pt idx="77">
                  <c:v>7/15/2016</c:v>
                </c:pt>
                <c:pt idx="78">
                  <c:v>7/18/2016</c:v>
                </c:pt>
                <c:pt idx="79">
                  <c:v>7/19/2016</c:v>
                </c:pt>
                <c:pt idx="80">
                  <c:v>7/20/2016</c:v>
                </c:pt>
                <c:pt idx="81">
                  <c:v>7/21/2016</c:v>
                </c:pt>
                <c:pt idx="82">
                  <c:v>7/22/2016</c:v>
                </c:pt>
                <c:pt idx="83">
                  <c:v>7/25/2016</c:v>
                </c:pt>
                <c:pt idx="84">
                  <c:v>7/26/2016</c:v>
                </c:pt>
                <c:pt idx="85">
                  <c:v>7/27/2016</c:v>
                </c:pt>
                <c:pt idx="86">
                  <c:v>7/28/2016</c:v>
                </c:pt>
                <c:pt idx="87">
                  <c:v>7/29/2016</c:v>
                </c:pt>
                <c:pt idx="88">
                  <c:v>8/1/2016</c:v>
                </c:pt>
                <c:pt idx="89">
                  <c:v>8/2/2016</c:v>
                </c:pt>
                <c:pt idx="90">
                  <c:v>8/3/2016</c:v>
                </c:pt>
                <c:pt idx="91">
                  <c:v>8/4/2016</c:v>
                </c:pt>
                <c:pt idx="92">
                  <c:v>8/5/2016</c:v>
                </c:pt>
                <c:pt idx="93">
                  <c:v>8/8/2016</c:v>
                </c:pt>
                <c:pt idx="94">
                  <c:v>8/9/2016</c:v>
                </c:pt>
                <c:pt idx="95">
                  <c:v>8/10/2016</c:v>
                </c:pt>
                <c:pt idx="96">
                  <c:v>8/11/2016</c:v>
                </c:pt>
                <c:pt idx="97">
                  <c:v>8/12/2016</c:v>
                </c:pt>
                <c:pt idx="98">
                  <c:v>8/15/2016</c:v>
                </c:pt>
                <c:pt idx="99">
                  <c:v>8/16/2016</c:v>
                </c:pt>
                <c:pt idx="100">
                  <c:v>8/17/2016</c:v>
                </c:pt>
                <c:pt idx="101">
                  <c:v>8/18/2016</c:v>
                </c:pt>
                <c:pt idx="102">
                  <c:v>8/19/2016</c:v>
                </c:pt>
                <c:pt idx="103">
                  <c:v>8/22/2016</c:v>
                </c:pt>
                <c:pt idx="104">
                  <c:v>8/23/2016</c:v>
                </c:pt>
                <c:pt idx="105">
                  <c:v>8/24/2016</c:v>
                </c:pt>
                <c:pt idx="106">
                  <c:v>8/25/2016</c:v>
                </c:pt>
                <c:pt idx="107">
                  <c:v>8/26/2016</c:v>
                </c:pt>
                <c:pt idx="108">
                  <c:v>8/29/2016</c:v>
                </c:pt>
                <c:pt idx="109">
                  <c:v>8/30/2016</c:v>
                </c:pt>
                <c:pt idx="110">
                  <c:v>8/31/2016</c:v>
                </c:pt>
                <c:pt idx="111">
                  <c:v>9/1/2016</c:v>
                </c:pt>
                <c:pt idx="112">
                  <c:v>9/2/2016</c:v>
                </c:pt>
                <c:pt idx="113">
                  <c:v>9/5/2016</c:v>
                </c:pt>
                <c:pt idx="114">
                  <c:v>9/6/2016</c:v>
                </c:pt>
                <c:pt idx="115">
                  <c:v>9/7/2016</c:v>
                </c:pt>
                <c:pt idx="116">
                  <c:v>9/8/2016</c:v>
                </c:pt>
                <c:pt idx="117">
                  <c:v>9/9/2016</c:v>
                </c:pt>
                <c:pt idx="118">
                  <c:v>9/12/2016</c:v>
                </c:pt>
                <c:pt idx="119">
                  <c:v>9/13/2016</c:v>
                </c:pt>
                <c:pt idx="120">
                  <c:v>9/14/2016</c:v>
                </c:pt>
                <c:pt idx="121">
                  <c:v>9/15/2016</c:v>
                </c:pt>
                <c:pt idx="122">
                  <c:v>9/16/2016</c:v>
                </c:pt>
                <c:pt idx="123">
                  <c:v>9/19/2016</c:v>
                </c:pt>
                <c:pt idx="124">
                  <c:v>9/20/2016</c:v>
                </c:pt>
                <c:pt idx="125">
                  <c:v>9/21/2016</c:v>
                </c:pt>
                <c:pt idx="126">
                  <c:v>9/22/2016</c:v>
                </c:pt>
                <c:pt idx="127">
                  <c:v>9/23/2016</c:v>
                </c:pt>
                <c:pt idx="128">
                  <c:v>9/26/2016</c:v>
                </c:pt>
                <c:pt idx="129">
                  <c:v>9/27/2016</c:v>
                </c:pt>
                <c:pt idx="130">
                  <c:v>9/28/2016</c:v>
                </c:pt>
                <c:pt idx="131">
                  <c:v>9/29/2016</c:v>
                </c:pt>
                <c:pt idx="132">
                  <c:v>9/30/2016</c:v>
                </c:pt>
                <c:pt idx="133">
                  <c:v>10/3/2016</c:v>
                </c:pt>
                <c:pt idx="134">
                  <c:v>10/4/2016</c:v>
                </c:pt>
                <c:pt idx="135">
                  <c:v>10/5/2016</c:v>
                </c:pt>
                <c:pt idx="136">
                  <c:v>10/6/2016</c:v>
                </c:pt>
                <c:pt idx="137">
                  <c:v>10/7/2016</c:v>
                </c:pt>
                <c:pt idx="138">
                  <c:v>10/10/2016</c:v>
                </c:pt>
                <c:pt idx="139">
                  <c:v>10/11/2016</c:v>
                </c:pt>
                <c:pt idx="140">
                  <c:v>10/12/2016</c:v>
                </c:pt>
                <c:pt idx="141">
                  <c:v>10/13/2016</c:v>
                </c:pt>
                <c:pt idx="142">
                  <c:v>10/14/2016</c:v>
                </c:pt>
                <c:pt idx="143">
                  <c:v>10/17/2016</c:v>
                </c:pt>
                <c:pt idx="144">
                  <c:v>10/18/2016</c:v>
                </c:pt>
                <c:pt idx="145">
                  <c:v>10/19/2016</c:v>
                </c:pt>
                <c:pt idx="146">
                  <c:v>10/20/2016</c:v>
                </c:pt>
                <c:pt idx="147">
                  <c:v>10/21/2016</c:v>
                </c:pt>
                <c:pt idx="148">
                  <c:v>10/24/2016</c:v>
                </c:pt>
                <c:pt idx="149">
                  <c:v>10/25/2016</c:v>
                </c:pt>
                <c:pt idx="150">
                  <c:v>10/26/2016</c:v>
                </c:pt>
                <c:pt idx="151">
                  <c:v>10/27/2016</c:v>
                </c:pt>
                <c:pt idx="152">
                  <c:v>10/28/2016</c:v>
                </c:pt>
                <c:pt idx="153">
                  <c:v>10/31/2016</c:v>
                </c:pt>
                <c:pt idx="154">
                  <c:v>11/1/2016</c:v>
                </c:pt>
                <c:pt idx="155">
                  <c:v>11/2/2016</c:v>
                </c:pt>
                <c:pt idx="156">
                  <c:v>11/3/2016</c:v>
                </c:pt>
                <c:pt idx="157">
                  <c:v>11/4/2016</c:v>
                </c:pt>
                <c:pt idx="158">
                  <c:v>11/7/2016</c:v>
                </c:pt>
                <c:pt idx="159">
                  <c:v>11/8/2016</c:v>
                </c:pt>
                <c:pt idx="160">
                  <c:v>11/9/2016</c:v>
                </c:pt>
                <c:pt idx="161">
                  <c:v>11/10/2016</c:v>
                </c:pt>
                <c:pt idx="162">
                  <c:v>11/11/2016</c:v>
                </c:pt>
                <c:pt idx="163">
                  <c:v>11/14/2016</c:v>
                </c:pt>
                <c:pt idx="164">
                  <c:v>11/15/2016</c:v>
                </c:pt>
                <c:pt idx="165">
                  <c:v>11/16/2016</c:v>
                </c:pt>
                <c:pt idx="166">
                  <c:v>11/17/2016</c:v>
                </c:pt>
                <c:pt idx="167">
                  <c:v>11/18/2016</c:v>
                </c:pt>
                <c:pt idx="168">
                  <c:v>11/21/2016</c:v>
                </c:pt>
                <c:pt idx="169">
                  <c:v>11/22/2016</c:v>
                </c:pt>
                <c:pt idx="170">
                  <c:v>11/23/2016</c:v>
                </c:pt>
                <c:pt idx="171">
                  <c:v>11/24/2016</c:v>
                </c:pt>
                <c:pt idx="172">
                  <c:v>11/25/2016</c:v>
                </c:pt>
                <c:pt idx="173">
                  <c:v>11/28/2016</c:v>
                </c:pt>
                <c:pt idx="174">
                  <c:v>11/29/2016</c:v>
                </c:pt>
                <c:pt idx="175">
                  <c:v>11/30/2016</c:v>
                </c:pt>
                <c:pt idx="176">
                  <c:v>12/1/2016</c:v>
                </c:pt>
                <c:pt idx="177">
                  <c:v>12/2/2016</c:v>
                </c:pt>
                <c:pt idx="178">
                  <c:v>12/5/2016</c:v>
                </c:pt>
                <c:pt idx="179">
                  <c:v>12/6/2016</c:v>
                </c:pt>
                <c:pt idx="180">
                  <c:v>12/7/2016</c:v>
                </c:pt>
                <c:pt idx="181">
                  <c:v>12/8/2016</c:v>
                </c:pt>
                <c:pt idx="182">
                  <c:v>12/9/2016</c:v>
                </c:pt>
                <c:pt idx="183">
                  <c:v>12/12/2016</c:v>
                </c:pt>
                <c:pt idx="184">
                  <c:v>12/13/2016</c:v>
                </c:pt>
                <c:pt idx="185">
                  <c:v>12/14/2016</c:v>
                </c:pt>
                <c:pt idx="186">
                  <c:v>12/15/2016</c:v>
                </c:pt>
                <c:pt idx="187">
                  <c:v>12/16/2016</c:v>
                </c:pt>
                <c:pt idx="188">
                  <c:v>12/19/2016</c:v>
                </c:pt>
                <c:pt idx="189">
                  <c:v>12/20/2016</c:v>
                </c:pt>
                <c:pt idx="190">
                  <c:v>12/21/2016</c:v>
                </c:pt>
                <c:pt idx="191">
                  <c:v>12/22/2016</c:v>
                </c:pt>
                <c:pt idx="192">
                  <c:v>12/23/2016</c:v>
                </c:pt>
                <c:pt idx="193">
                  <c:v>12/26/2016</c:v>
                </c:pt>
                <c:pt idx="194">
                  <c:v>12/27/2016</c:v>
                </c:pt>
                <c:pt idx="195">
                  <c:v>12/28/2016</c:v>
                </c:pt>
                <c:pt idx="196">
                  <c:v>12/29/2016</c:v>
                </c:pt>
                <c:pt idx="197">
                  <c:v>12/30/2016</c:v>
                </c:pt>
                <c:pt idx="198">
                  <c:v>1/2/2017</c:v>
                </c:pt>
                <c:pt idx="199">
                  <c:v>1/3/2017</c:v>
                </c:pt>
                <c:pt idx="200">
                  <c:v>1/4/2017</c:v>
                </c:pt>
                <c:pt idx="201">
                  <c:v>1/5/2017</c:v>
                </c:pt>
                <c:pt idx="202">
                  <c:v>1/6/2017</c:v>
                </c:pt>
                <c:pt idx="203">
                  <c:v>1/9/2017</c:v>
                </c:pt>
                <c:pt idx="204">
                  <c:v>1/10/2017</c:v>
                </c:pt>
                <c:pt idx="205">
                  <c:v>1/11/2017</c:v>
                </c:pt>
                <c:pt idx="206">
                  <c:v>1/12/2017</c:v>
                </c:pt>
                <c:pt idx="207">
                  <c:v>1/13/2017</c:v>
                </c:pt>
                <c:pt idx="208">
                  <c:v>1/16/2017</c:v>
                </c:pt>
                <c:pt idx="209">
                  <c:v>1/17/2017</c:v>
                </c:pt>
                <c:pt idx="210">
                  <c:v>1/18/2017</c:v>
                </c:pt>
                <c:pt idx="211">
                  <c:v>1/19/2017</c:v>
                </c:pt>
                <c:pt idx="212">
                  <c:v>1/20/2017</c:v>
                </c:pt>
                <c:pt idx="213">
                  <c:v>1/23/2017</c:v>
                </c:pt>
                <c:pt idx="214">
                  <c:v>1/24/2017</c:v>
                </c:pt>
                <c:pt idx="215">
                  <c:v>1/25/2017</c:v>
                </c:pt>
                <c:pt idx="216">
                  <c:v>1/26/2017</c:v>
                </c:pt>
                <c:pt idx="217">
                  <c:v>1/27/2017</c:v>
                </c:pt>
                <c:pt idx="218">
                  <c:v>1/30/2017</c:v>
                </c:pt>
                <c:pt idx="219">
                  <c:v>1/31/2017</c:v>
                </c:pt>
                <c:pt idx="220">
                  <c:v>2/1/2017</c:v>
                </c:pt>
                <c:pt idx="221">
                  <c:v>2/2/2017</c:v>
                </c:pt>
                <c:pt idx="222">
                  <c:v>2/3/2017</c:v>
                </c:pt>
                <c:pt idx="223">
                  <c:v>2/6/2017</c:v>
                </c:pt>
                <c:pt idx="224">
                  <c:v>2/7/2017</c:v>
                </c:pt>
                <c:pt idx="225">
                  <c:v>2/8/2017</c:v>
                </c:pt>
                <c:pt idx="226">
                  <c:v>2/9/2017</c:v>
                </c:pt>
                <c:pt idx="227">
                  <c:v>2/10/2017</c:v>
                </c:pt>
                <c:pt idx="228">
                  <c:v>2/13/2017</c:v>
                </c:pt>
                <c:pt idx="229">
                  <c:v>2/14/2017</c:v>
                </c:pt>
                <c:pt idx="230">
                  <c:v>2/15/2017</c:v>
                </c:pt>
                <c:pt idx="231">
                  <c:v>2/16/2017</c:v>
                </c:pt>
                <c:pt idx="232">
                  <c:v>2/17/2017</c:v>
                </c:pt>
                <c:pt idx="233">
                  <c:v>2/19/2017</c:v>
                </c:pt>
                <c:pt idx="234">
                  <c:v>2/21/2017</c:v>
                </c:pt>
                <c:pt idx="235">
                  <c:v>2/22/2017</c:v>
                </c:pt>
                <c:pt idx="236">
                  <c:v>2/23/2017</c:v>
                </c:pt>
                <c:pt idx="237">
                  <c:v>2/24/2017</c:v>
                </c:pt>
                <c:pt idx="238">
                  <c:v>2/27/2017</c:v>
                </c:pt>
                <c:pt idx="239">
                  <c:v>2/28/2017</c:v>
                </c:pt>
                <c:pt idx="240">
                  <c:v>3/1/2017</c:v>
                </c:pt>
                <c:pt idx="241">
                  <c:v>3/2/2017</c:v>
                </c:pt>
                <c:pt idx="242">
                  <c:v>3/3/2017</c:v>
                </c:pt>
                <c:pt idx="243">
                  <c:v>3/6/2017</c:v>
                </c:pt>
                <c:pt idx="244">
                  <c:v>3/7/2017</c:v>
                </c:pt>
                <c:pt idx="245">
                  <c:v>3/8/2017</c:v>
                </c:pt>
                <c:pt idx="246">
                  <c:v>3/9/2017</c:v>
                </c:pt>
                <c:pt idx="247">
                  <c:v>3/10/2017</c:v>
                </c:pt>
                <c:pt idx="248">
                  <c:v>3/13/2017</c:v>
                </c:pt>
                <c:pt idx="249">
                  <c:v>3/14/2017</c:v>
                </c:pt>
                <c:pt idx="250">
                  <c:v>3/15/2017</c:v>
                </c:pt>
                <c:pt idx="251">
                  <c:v>3/16/2017</c:v>
                </c:pt>
                <c:pt idx="252">
                  <c:v>3/17/2017</c:v>
                </c:pt>
                <c:pt idx="253">
                  <c:v>3/20/2017</c:v>
                </c:pt>
                <c:pt idx="254">
                  <c:v>3/21/2017</c:v>
                </c:pt>
                <c:pt idx="255">
                  <c:v>3/22/2017</c:v>
                </c:pt>
                <c:pt idx="256">
                  <c:v>3/23/2017</c:v>
                </c:pt>
                <c:pt idx="257">
                  <c:v>3/24/2017</c:v>
                </c:pt>
                <c:pt idx="258">
                  <c:v>3/27/2017</c:v>
                </c:pt>
                <c:pt idx="259">
                  <c:v>3/28/2017</c:v>
                </c:pt>
                <c:pt idx="260">
                  <c:v>3/29/2017</c:v>
                </c:pt>
                <c:pt idx="261">
                  <c:v>3/30/2017</c:v>
                </c:pt>
                <c:pt idx="262">
                  <c:v>3/31/2017</c:v>
                </c:pt>
                <c:pt idx="263">
                  <c:v>4/3/2017</c:v>
                </c:pt>
                <c:pt idx="264">
                  <c:v>4/4/2017</c:v>
                </c:pt>
                <c:pt idx="265">
                  <c:v>4/5/2017</c:v>
                </c:pt>
                <c:pt idx="266">
                  <c:v>4/6/2017</c:v>
                </c:pt>
                <c:pt idx="267">
                  <c:v>4/7/2017</c:v>
                </c:pt>
                <c:pt idx="268">
                  <c:v>4/10/2017</c:v>
                </c:pt>
                <c:pt idx="269">
                  <c:v>4/11/2017</c:v>
                </c:pt>
                <c:pt idx="270">
                  <c:v>4/12/2017</c:v>
                </c:pt>
                <c:pt idx="271">
                  <c:v>4/13/2017</c:v>
                </c:pt>
                <c:pt idx="272">
                  <c:v>4/14/2017</c:v>
                </c:pt>
                <c:pt idx="273">
                  <c:v>4/17/2017</c:v>
                </c:pt>
                <c:pt idx="274">
                  <c:v>4/18/2017</c:v>
                </c:pt>
                <c:pt idx="275">
                  <c:v>4/19/2017</c:v>
                </c:pt>
                <c:pt idx="276">
                  <c:v>4/20/2017</c:v>
                </c:pt>
                <c:pt idx="277">
                  <c:v>4/21/2017</c:v>
                </c:pt>
                <c:pt idx="278">
                  <c:v>4/24/2017</c:v>
                </c:pt>
                <c:pt idx="279">
                  <c:v>4/25/2017</c:v>
                </c:pt>
                <c:pt idx="280">
                  <c:v>4/26/2017</c:v>
                </c:pt>
                <c:pt idx="281">
                  <c:v>4/27/2017</c:v>
                </c:pt>
                <c:pt idx="282">
                  <c:v>4/28/2017</c:v>
                </c:pt>
                <c:pt idx="283">
                  <c:v>5/1/2017</c:v>
                </c:pt>
                <c:pt idx="284">
                  <c:v>5/2/2017</c:v>
                </c:pt>
                <c:pt idx="285">
                  <c:v>5/3/2017</c:v>
                </c:pt>
                <c:pt idx="286">
                  <c:v>5/4/2017</c:v>
                </c:pt>
                <c:pt idx="287">
                  <c:v>5/5/2017</c:v>
                </c:pt>
                <c:pt idx="288">
                  <c:v>5/8/2017</c:v>
                </c:pt>
                <c:pt idx="289">
                  <c:v>5/9/2017</c:v>
                </c:pt>
                <c:pt idx="290">
                  <c:v>5/10/2017</c:v>
                </c:pt>
                <c:pt idx="291">
                  <c:v>5/11/2017</c:v>
                </c:pt>
                <c:pt idx="292">
                  <c:v>5/12/2017</c:v>
                </c:pt>
                <c:pt idx="293">
                  <c:v>5/15/2017</c:v>
                </c:pt>
                <c:pt idx="294">
                  <c:v>5/16/2017</c:v>
                </c:pt>
                <c:pt idx="295">
                  <c:v>5/17/2017</c:v>
                </c:pt>
                <c:pt idx="296">
                  <c:v>5/18/2017</c:v>
                </c:pt>
                <c:pt idx="297">
                  <c:v>5/19/2017</c:v>
                </c:pt>
                <c:pt idx="298">
                  <c:v>5/22/2017</c:v>
                </c:pt>
                <c:pt idx="299">
                  <c:v>5/23/2017</c:v>
                </c:pt>
                <c:pt idx="300">
                  <c:v>5/24/2017</c:v>
                </c:pt>
                <c:pt idx="301">
                  <c:v>5/25/2017</c:v>
                </c:pt>
                <c:pt idx="302">
                  <c:v>5/26/2017</c:v>
                </c:pt>
                <c:pt idx="303">
                  <c:v>5/29/2017</c:v>
                </c:pt>
                <c:pt idx="304">
                  <c:v>5/30/2017</c:v>
                </c:pt>
                <c:pt idx="305">
                  <c:v>5/31/2017</c:v>
                </c:pt>
                <c:pt idx="306">
                  <c:v>6/1/2017</c:v>
                </c:pt>
                <c:pt idx="307">
                  <c:v>6/2/2017</c:v>
                </c:pt>
                <c:pt idx="308">
                  <c:v>6/5/2017</c:v>
                </c:pt>
                <c:pt idx="309">
                  <c:v>6/6/2017</c:v>
                </c:pt>
                <c:pt idx="310">
                  <c:v>6/7/2017</c:v>
                </c:pt>
                <c:pt idx="311">
                  <c:v>6/8/2017</c:v>
                </c:pt>
                <c:pt idx="312">
                  <c:v>6/9/2017</c:v>
                </c:pt>
                <c:pt idx="313">
                  <c:v>6/12/2017</c:v>
                </c:pt>
                <c:pt idx="314">
                  <c:v>6/13/2017</c:v>
                </c:pt>
                <c:pt idx="315">
                  <c:v>6/14/2017</c:v>
                </c:pt>
                <c:pt idx="316">
                  <c:v>6/15/2017</c:v>
                </c:pt>
                <c:pt idx="317">
                  <c:v>6/16/2017</c:v>
                </c:pt>
                <c:pt idx="318">
                  <c:v>6/19/2017</c:v>
                </c:pt>
                <c:pt idx="319">
                  <c:v>6/20/2017</c:v>
                </c:pt>
                <c:pt idx="320">
                  <c:v>6/21/2017</c:v>
                </c:pt>
                <c:pt idx="321">
                  <c:v>6/22/2017</c:v>
                </c:pt>
                <c:pt idx="322">
                  <c:v>6/23/2017</c:v>
                </c:pt>
                <c:pt idx="323">
                  <c:v>6/26/2017</c:v>
                </c:pt>
                <c:pt idx="324">
                  <c:v>6/27/2017</c:v>
                </c:pt>
                <c:pt idx="325">
                  <c:v>6/28/2017</c:v>
                </c:pt>
                <c:pt idx="326">
                  <c:v>6/29/2017</c:v>
                </c:pt>
                <c:pt idx="327">
                  <c:v>6/30/2017</c:v>
                </c:pt>
                <c:pt idx="328">
                  <c:v>7/3/2017</c:v>
                </c:pt>
                <c:pt idx="329">
                  <c:v>7/4/2017</c:v>
                </c:pt>
                <c:pt idx="330">
                  <c:v>7/5/2017</c:v>
                </c:pt>
                <c:pt idx="331">
                  <c:v>7/6/2017</c:v>
                </c:pt>
                <c:pt idx="332">
                  <c:v>7/7/2017</c:v>
                </c:pt>
                <c:pt idx="333">
                  <c:v>7/10/2017</c:v>
                </c:pt>
                <c:pt idx="334">
                  <c:v>7/11/2017</c:v>
                </c:pt>
                <c:pt idx="335">
                  <c:v>7/12/2017</c:v>
                </c:pt>
                <c:pt idx="336">
                  <c:v>7/13/2017</c:v>
                </c:pt>
                <c:pt idx="337">
                  <c:v>7/14/2017</c:v>
                </c:pt>
                <c:pt idx="338">
                  <c:v>7/17/2017</c:v>
                </c:pt>
                <c:pt idx="339">
                  <c:v>7/18/2017</c:v>
                </c:pt>
                <c:pt idx="340">
                  <c:v>7/19/2017</c:v>
                </c:pt>
                <c:pt idx="341">
                  <c:v>7/20/2017</c:v>
                </c:pt>
                <c:pt idx="342">
                  <c:v>7/21/2017</c:v>
                </c:pt>
                <c:pt idx="343">
                  <c:v>7/24/2017</c:v>
                </c:pt>
                <c:pt idx="344">
                  <c:v>7/25/2017</c:v>
                </c:pt>
                <c:pt idx="345">
                  <c:v>7/26/2017</c:v>
                </c:pt>
                <c:pt idx="346">
                  <c:v>7/27/2017</c:v>
                </c:pt>
                <c:pt idx="347">
                  <c:v>7/28/2017</c:v>
                </c:pt>
                <c:pt idx="348">
                  <c:v>7/31/2017</c:v>
                </c:pt>
                <c:pt idx="349">
                  <c:v>8/1/2017</c:v>
                </c:pt>
                <c:pt idx="350">
                  <c:v>8/2/2017</c:v>
                </c:pt>
                <c:pt idx="351">
                  <c:v>8/3/2017</c:v>
                </c:pt>
                <c:pt idx="352">
                  <c:v>8/4/2017</c:v>
                </c:pt>
                <c:pt idx="353">
                  <c:v>8/7/2017</c:v>
                </c:pt>
                <c:pt idx="354">
                  <c:v>8/8/2017</c:v>
                </c:pt>
                <c:pt idx="355">
                  <c:v>8/9/2017</c:v>
                </c:pt>
                <c:pt idx="356">
                  <c:v>8/10/2017</c:v>
                </c:pt>
                <c:pt idx="357">
                  <c:v>8/11/2017</c:v>
                </c:pt>
                <c:pt idx="358">
                  <c:v>8/14/2017</c:v>
                </c:pt>
                <c:pt idx="359">
                  <c:v>8/15/2017</c:v>
                </c:pt>
                <c:pt idx="360">
                  <c:v>8/16/2017</c:v>
                </c:pt>
                <c:pt idx="361">
                  <c:v>8/17/2017</c:v>
                </c:pt>
                <c:pt idx="362">
                  <c:v>8/18/2017</c:v>
                </c:pt>
                <c:pt idx="363">
                  <c:v>8/21/2017</c:v>
                </c:pt>
                <c:pt idx="364">
                  <c:v>8/22/2017</c:v>
                </c:pt>
                <c:pt idx="365">
                  <c:v>8/23/2017</c:v>
                </c:pt>
                <c:pt idx="366">
                  <c:v>8/24/2017</c:v>
                </c:pt>
                <c:pt idx="367">
                  <c:v>8/25/2017</c:v>
                </c:pt>
                <c:pt idx="368">
                  <c:v>8/28/2017</c:v>
                </c:pt>
                <c:pt idx="369">
                  <c:v>8/29/2017</c:v>
                </c:pt>
                <c:pt idx="370">
                  <c:v>8/30/2017</c:v>
                </c:pt>
                <c:pt idx="371">
                  <c:v>8/31/2017</c:v>
                </c:pt>
                <c:pt idx="372">
                  <c:v>9/1/2017</c:v>
                </c:pt>
                <c:pt idx="373">
                  <c:v>9/4/2017</c:v>
                </c:pt>
                <c:pt idx="374">
                  <c:v>9/5/2017</c:v>
                </c:pt>
                <c:pt idx="375">
                  <c:v>9/6/2017</c:v>
                </c:pt>
                <c:pt idx="376">
                  <c:v>9/7/2017</c:v>
                </c:pt>
                <c:pt idx="377">
                  <c:v>9/8/2017</c:v>
                </c:pt>
                <c:pt idx="378">
                  <c:v>9/11/2017</c:v>
                </c:pt>
                <c:pt idx="379">
                  <c:v>9/12/2017</c:v>
                </c:pt>
                <c:pt idx="380">
                  <c:v>9/13/2017</c:v>
                </c:pt>
                <c:pt idx="381">
                  <c:v>9/14/2017</c:v>
                </c:pt>
                <c:pt idx="382">
                  <c:v>9/15/2017</c:v>
                </c:pt>
                <c:pt idx="383">
                  <c:v>9/18/2017</c:v>
                </c:pt>
                <c:pt idx="384">
                  <c:v>9/19/2017</c:v>
                </c:pt>
                <c:pt idx="385">
                  <c:v>9/20/2017</c:v>
                </c:pt>
                <c:pt idx="386">
                  <c:v>9/21/2017</c:v>
                </c:pt>
                <c:pt idx="387">
                  <c:v>9/22/2017</c:v>
                </c:pt>
                <c:pt idx="388">
                  <c:v>9/25/2017</c:v>
                </c:pt>
                <c:pt idx="389">
                  <c:v>9/26/2017</c:v>
                </c:pt>
                <c:pt idx="390">
                  <c:v>9/27/2017</c:v>
                </c:pt>
                <c:pt idx="391">
                  <c:v>9/28/2017</c:v>
                </c:pt>
                <c:pt idx="392">
                  <c:v>9/29/2017</c:v>
                </c:pt>
                <c:pt idx="393">
                  <c:v>10/2/2017</c:v>
                </c:pt>
                <c:pt idx="394">
                  <c:v>10/3/2017</c:v>
                </c:pt>
                <c:pt idx="395">
                  <c:v>10/4/2017</c:v>
                </c:pt>
                <c:pt idx="396">
                  <c:v>10/5/2017</c:v>
                </c:pt>
                <c:pt idx="397">
                  <c:v>10/6/2017</c:v>
                </c:pt>
                <c:pt idx="398">
                  <c:v>10/9/2017</c:v>
                </c:pt>
                <c:pt idx="399">
                  <c:v>10/10/2017</c:v>
                </c:pt>
                <c:pt idx="400">
                  <c:v>10/11/2017</c:v>
                </c:pt>
                <c:pt idx="401">
                  <c:v>10/12/2017</c:v>
                </c:pt>
                <c:pt idx="402">
                  <c:v>10/13/2017</c:v>
                </c:pt>
                <c:pt idx="403">
                  <c:v>10/16/2017</c:v>
                </c:pt>
                <c:pt idx="404">
                  <c:v>10/17/2017</c:v>
                </c:pt>
                <c:pt idx="405">
                  <c:v>10/18/2017</c:v>
                </c:pt>
                <c:pt idx="406">
                  <c:v>10/19/2017</c:v>
                </c:pt>
                <c:pt idx="407">
                  <c:v>10/20/2017</c:v>
                </c:pt>
                <c:pt idx="408">
                  <c:v>10/23/2017</c:v>
                </c:pt>
                <c:pt idx="409">
                  <c:v>10/24/2017</c:v>
                </c:pt>
                <c:pt idx="410">
                  <c:v>10/25/2017</c:v>
                </c:pt>
                <c:pt idx="411">
                  <c:v>10/26/2017</c:v>
                </c:pt>
                <c:pt idx="412">
                  <c:v>10/27/2017</c:v>
                </c:pt>
                <c:pt idx="413">
                  <c:v>10/30/2017</c:v>
                </c:pt>
                <c:pt idx="414">
                  <c:v>10/31/2017</c:v>
                </c:pt>
                <c:pt idx="415">
                  <c:v>11/1/2017</c:v>
                </c:pt>
                <c:pt idx="416">
                  <c:v>11/2/2017</c:v>
                </c:pt>
                <c:pt idx="417">
                  <c:v>11/3/2017</c:v>
                </c:pt>
                <c:pt idx="418">
                  <c:v>11/6/2017</c:v>
                </c:pt>
                <c:pt idx="419">
                  <c:v>11/7/2017</c:v>
                </c:pt>
                <c:pt idx="420">
                  <c:v>11/8/2017</c:v>
                </c:pt>
                <c:pt idx="421">
                  <c:v>11/9/2017</c:v>
                </c:pt>
                <c:pt idx="422">
                  <c:v>11/10/2017</c:v>
                </c:pt>
                <c:pt idx="423">
                  <c:v>11/13/2017</c:v>
                </c:pt>
                <c:pt idx="424">
                  <c:v>11/14/2017</c:v>
                </c:pt>
                <c:pt idx="425">
                  <c:v>11/15/2017</c:v>
                </c:pt>
                <c:pt idx="426">
                  <c:v>11/16/2017</c:v>
                </c:pt>
                <c:pt idx="427">
                  <c:v>11/17/2017</c:v>
                </c:pt>
                <c:pt idx="428">
                  <c:v>11/20/2017</c:v>
                </c:pt>
                <c:pt idx="429">
                  <c:v>11/21/2017</c:v>
                </c:pt>
                <c:pt idx="430">
                  <c:v>11/22/2017</c:v>
                </c:pt>
                <c:pt idx="431">
                  <c:v>11/23/2017</c:v>
                </c:pt>
                <c:pt idx="432">
                  <c:v>11/24/2017</c:v>
                </c:pt>
                <c:pt idx="433">
                  <c:v>11/27/2017</c:v>
                </c:pt>
                <c:pt idx="434">
                  <c:v>11/28/2017</c:v>
                </c:pt>
                <c:pt idx="435">
                  <c:v>11/29/2017</c:v>
                </c:pt>
                <c:pt idx="436">
                  <c:v>11/30/2017</c:v>
                </c:pt>
                <c:pt idx="437">
                  <c:v>12/1/2017</c:v>
                </c:pt>
                <c:pt idx="438">
                  <c:v>12/4/2017</c:v>
                </c:pt>
                <c:pt idx="439">
                  <c:v>12/5/2017</c:v>
                </c:pt>
                <c:pt idx="440">
                  <c:v>12/6/2017</c:v>
                </c:pt>
                <c:pt idx="441">
                  <c:v>12/7/2017</c:v>
                </c:pt>
                <c:pt idx="442">
                  <c:v>12/8/2017</c:v>
                </c:pt>
                <c:pt idx="443">
                  <c:v>12/11/2017</c:v>
                </c:pt>
                <c:pt idx="444">
                  <c:v>12/12/2017</c:v>
                </c:pt>
                <c:pt idx="445">
                  <c:v>12/13/2017</c:v>
                </c:pt>
                <c:pt idx="446">
                  <c:v>12/14/2017</c:v>
                </c:pt>
                <c:pt idx="447">
                  <c:v>12/15/2017</c:v>
                </c:pt>
                <c:pt idx="448">
                  <c:v>12/18/2017</c:v>
                </c:pt>
                <c:pt idx="449">
                  <c:v>12/19/2017</c:v>
                </c:pt>
                <c:pt idx="450">
                  <c:v>12/20/2017</c:v>
                </c:pt>
                <c:pt idx="451">
                  <c:v>12/21/2017</c:v>
                </c:pt>
                <c:pt idx="452">
                  <c:v>12/22/2017</c:v>
                </c:pt>
                <c:pt idx="453">
                  <c:v>12/25/2017</c:v>
                </c:pt>
                <c:pt idx="454">
                  <c:v>12/26/2017</c:v>
                </c:pt>
                <c:pt idx="455">
                  <c:v>12/27/2017</c:v>
                </c:pt>
                <c:pt idx="456">
                  <c:v>12/28/2017</c:v>
                </c:pt>
                <c:pt idx="457">
                  <c:v>12/29/2017</c:v>
                </c:pt>
                <c:pt idx="458">
                  <c:v>1/1/2018</c:v>
                </c:pt>
                <c:pt idx="459">
                  <c:v>1/2/2018</c:v>
                </c:pt>
                <c:pt idx="460">
                  <c:v>1/3/2018</c:v>
                </c:pt>
                <c:pt idx="461">
                  <c:v>1/4/2018</c:v>
                </c:pt>
                <c:pt idx="462">
                  <c:v>1/5/2018</c:v>
                </c:pt>
                <c:pt idx="463">
                  <c:v>1/8/2018</c:v>
                </c:pt>
                <c:pt idx="464">
                  <c:v>1/9/2018</c:v>
                </c:pt>
                <c:pt idx="465">
                  <c:v>1/10/2018</c:v>
                </c:pt>
                <c:pt idx="466">
                  <c:v>1/11/2018</c:v>
                </c:pt>
                <c:pt idx="467">
                  <c:v>1/12/2018</c:v>
                </c:pt>
                <c:pt idx="468">
                  <c:v>1/15/2018</c:v>
                </c:pt>
                <c:pt idx="469">
                  <c:v>1/16/2018</c:v>
                </c:pt>
                <c:pt idx="470">
                  <c:v>1/17/2018</c:v>
                </c:pt>
                <c:pt idx="471">
                  <c:v>1/18/2018</c:v>
                </c:pt>
                <c:pt idx="472">
                  <c:v>1/19/2018</c:v>
                </c:pt>
                <c:pt idx="473">
                  <c:v>1/22/2018</c:v>
                </c:pt>
                <c:pt idx="474">
                  <c:v>1/23/2018</c:v>
                </c:pt>
                <c:pt idx="475">
                  <c:v>1/24/2018</c:v>
                </c:pt>
                <c:pt idx="476">
                  <c:v>1/25/2018</c:v>
                </c:pt>
                <c:pt idx="477">
                  <c:v>1/26/2018</c:v>
                </c:pt>
                <c:pt idx="478">
                  <c:v>1/29/2018</c:v>
                </c:pt>
                <c:pt idx="479">
                  <c:v>1/30/2018</c:v>
                </c:pt>
                <c:pt idx="480">
                  <c:v>1/31/2018</c:v>
                </c:pt>
                <c:pt idx="481">
                  <c:v>2/1/2018</c:v>
                </c:pt>
                <c:pt idx="482">
                  <c:v>2/2/2018</c:v>
                </c:pt>
                <c:pt idx="483">
                  <c:v>2/5/2018</c:v>
                </c:pt>
                <c:pt idx="484">
                  <c:v>2/6/2018</c:v>
                </c:pt>
                <c:pt idx="485">
                  <c:v>2/7/2018</c:v>
                </c:pt>
                <c:pt idx="486">
                  <c:v>2/8/2018</c:v>
                </c:pt>
                <c:pt idx="487">
                  <c:v>2/9/2018</c:v>
                </c:pt>
                <c:pt idx="488">
                  <c:v>2/12/2018</c:v>
                </c:pt>
                <c:pt idx="489">
                  <c:v>2/13/2018</c:v>
                </c:pt>
                <c:pt idx="490">
                  <c:v>2/14/2018</c:v>
                </c:pt>
                <c:pt idx="491">
                  <c:v>2/15/2018</c:v>
                </c:pt>
                <c:pt idx="492">
                  <c:v>2/16/2018</c:v>
                </c:pt>
                <c:pt idx="493">
                  <c:v>2/19/2018</c:v>
                </c:pt>
                <c:pt idx="494">
                  <c:v>2/20/2018</c:v>
                </c:pt>
                <c:pt idx="495">
                  <c:v>2/21/2018</c:v>
                </c:pt>
                <c:pt idx="496">
                  <c:v>2/22/2018</c:v>
                </c:pt>
                <c:pt idx="497">
                  <c:v>2/23/2018</c:v>
                </c:pt>
                <c:pt idx="498">
                  <c:v>2/26/2018</c:v>
                </c:pt>
                <c:pt idx="499">
                  <c:v>2/27/2018</c:v>
                </c:pt>
                <c:pt idx="500">
                  <c:v>2/28/2018</c:v>
                </c:pt>
                <c:pt idx="501">
                  <c:v>3/1/2018</c:v>
                </c:pt>
                <c:pt idx="502">
                  <c:v>3/2/2018</c:v>
                </c:pt>
                <c:pt idx="503">
                  <c:v>3/5/2018</c:v>
                </c:pt>
                <c:pt idx="504">
                  <c:v>3/6/2018</c:v>
                </c:pt>
                <c:pt idx="505">
                  <c:v>3/7/2018</c:v>
                </c:pt>
                <c:pt idx="506">
                  <c:v>3/8/2018</c:v>
                </c:pt>
                <c:pt idx="507">
                  <c:v>3/9/2018</c:v>
                </c:pt>
                <c:pt idx="508">
                  <c:v>3/12/2018</c:v>
                </c:pt>
                <c:pt idx="509">
                  <c:v>3/13/2018</c:v>
                </c:pt>
                <c:pt idx="510">
                  <c:v>3/14/2018</c:v>
                </c:pt>
                <c:pt idx="511">
                  <c:v>3/15/2018</c:v>
                </c:pt>
                <c:pt idx="512">
                  <c:v>3/16/2018</c:v>
                </c:pt>
                <c:pt idx="513">
                  <c:v>3/19/2018</c:v>
                </c:pt>
                <c:pt idx="514">
                  <c:v>3/20/2018</c:v>
                </c:pt>
                <c:pt idx="515">
                  <c:v>3/21/2018</c:v>
                </c:pt>
                <c:pt idx="516">
                  <c:v>3/22/2018</c:v>
                </c:pt>
                <c:pt idx="517">
                  <c:v>3/23/2018</c:v>
                </c:pt>
                <c:pt idx="518">
                  <c:v>3/26/2018</c:v>
                </c:pt>
                <c:pt idx="519">
                  <c:v>3/27/2018</c:v>
                </c:pt>
                <c:pt idx="520">
                  <c:v>3/28/2018</c:v>
                </c:pt>
                <c:pt idx="521">
                  <c:v>3/29/2018</c:v>
                </c:pt>
                <c:pt idx="522">
                  <c:v>3/30/2018</c:v>
                </c:pt>
                <c:pt idx="523">
                  <c:v>4/2/2018</c:v>
                </c:pt>
                <c:pt idx="524">
                  <c:v>4/3/2018</c:v>
                </c:pt>
                <c:pt idx="525">
                  <c:v>4/4/2018</c:v>
                </c:pt>
                <c:pt idx="526">
                  <c:v>4/5/2018</c:v>
                </c:pt>
                <c:pt idx="527">
                  <c:v>4/6/2018</c:v>
                </c:pt>
                <c:pt idx="528">
                  <c:v>4/9/2018</c:v>
                </c:pt>
                <c:pt idx="529">
                  <c:v>4/10/2018</c:v>
                </c:pt>
                <c:pt idx="530">
                  <c:v>4/11/2018</c:v>
                </c:pt>
                <c:pt idx="531">
                  <c:v>4/12/2018</c:v>
                </c:pt>
                <c:pt idx="532">
                  <c:v>4/13/2018</c:v>
                </c:pt>
                <c:pt idx="533">
                  <c:v>4/16/2018</c:v>
                </c:pt>
                <c:pt idx="534">
                  <c:v>4/17/2018</c:v>
                </c:pt>
                <c:pt idx="535">
                  <c:v>4/18/2018</c:v>
                </c:pt>
                <c:pt idx="536">
                  <c:v>4/19/2018</c:v>
                </c:pt>
                <c:pt idx="537">
                  <c:v>4/20/2018</c:v>
                </c:pt>
                <c:pt idx="538">
                  <c:v>4/23/2018</c:v>
                </c:pt>
                <c:pt idx="539">
                  <c:v>4/24/2018</c:v>
                </c:pt>
                <c:pt idx="540">
                  <c:v>4/25/2018</c:v>
                </c:pt>
                <c:pt idx="541">
                  <c:v>4/26/2018</c:v>
                </c:pt>
                <c:pt idx="542">
                  <c:v>4/27/2018</c:v>
                </c:pt>
                <c:pt idx="543">
                  <c:v>4/30/2018</c:v>
                </c:pt>
                <c:pt idx="544">
                  <c:v>5/1/2018</c:v>
                </c:pt>
                <c:pt idx="545">
                  <c:v>5/2/2018</c:v>
                </c:pt>
                <c:pt idx="546">
                  <c:v>5/3/2018</c:v>
                </c:pt>
                <c:pt idx="547">
                  <c:v>5/4/2018</c:v>
                </c:pt>
                <c:pt idx="548">
                  <c:v>5/7/2018</c:v>
                </c:pt>
                <c:pt idx="549">
                  <c:v>5/8/2018</c:v>
                </c:pt>
                <c:pt idx="550">
                  <c:v>5/9/2018</c:v>
                </c:pt>
                <c:pt idx="551">
                  <c:v>5/10/2018</c:v>
                </c:pt>
                <c:pt idx="552">
                  <c:v>5/11/2018</c:v>
                </c:pt>
                <c:pt idx="553">
                  <c:v>5/14/2018</c:v>
                </c:pt>
                <c:pt idx="554">
                  <c:v>5/15/2018</c:v>
                </c:pt>
                <c:pt idx="555">
                  <c:v>5/16/2018</c:v>
                </c:pt>
                <c:pt idx="556">
                  <c:v>5/17/2018</c:v>
                </c:pt>
                <c:pt idx="557">
                  <c:v>5/18/2018</c:v>
                </c:pt>
                <c:pt idx="558">
                  <c:v>5/21/2018</c:v>
                </c:pt>
                <c:pt idx="559">
                  <c:v>5/22/2018</c:v>
                </c:pt>
                <c:pt idx="560">
                  <c:v>5/23/2018</c:v>
                </c:pt>
                <c:pt idx="561">
                  <c:v>5/24/2018</c:v>
                </c:pt>
                <c:pt idx="562">
                  <c:v>5/25/2018</c:v>
                </c:pt>
                <c:pt idx="563">
                  <c:v>5/28/2018</c:v>
                </c:pt>
                <c:pt idx="564">
                  <c:v>5/29/2018</c:v>
                </c:pt>
                <c:pt idx="565">
                  <c:v>5/30/2018</c:v>
                </c:pt>
                <c:pt idx="566">
                  <c:v>5/31/2018</c:v>
                </c:pt>
                <c:pt idx="567">
                  <c:v>6/1/2018</c:v>
                </c:pt>
                <c:pt idx="568">
                  <c:v>6/4/2018</c:v>
                </c:pt>
                <c:pt idx="569">
                  <c:v>6/5/2018</c:v>
                </c:pt>
                <c:pt idx="570">
                  <c:v>6/6/2018</c:v>
                </c:pt>
                <c:pt idx="571">
                  <c:v>6/7/2018</c:v>
                </c:pt>
                <c:pt idx="572">
                  <c:v>6/8/2018</c:v>
                </c:pt>
                <c:pt idx="573">
                  <c:v>6/11/2018</c:v>
                </c:pt>
                <c:pt idx="574">
                  <c:v>6/12/2018</c:v>
                </c:pt>
                <c:pt idx="575">
                  <c:v>6/13/2018</c:v>
                </c:pt>
                <c:pt idx="576">
                  <c:v>6/14/2018</c:v>
                </c:pt>
                <c:pt idx="577">
                  <c:v>6/15/2018</c:v>
                </c:pt>
                <c:pt idx="578">
                  <c:v>6/18/2018</c:v>
                </c:pt>
                <c:pt idx="579">
                  <c:v>6/19/2018</c:v>
                </c:pt>
                <c:pt idx="580">
                  <c:v>6/20/2018</c:v>
                </c:pt>
                <c:pt idx="581">
                  <c:v>6/21/2018</c:v>
                </c:pt>
                <c:pt idx="582">
                  <c:v>6/22/2018</c:v>
                </c:pt>
                <c:pt idx="583">
                  <c:v>6/25/2018</c:v>
                </c:pt>
                <c:pt idx="584">
                  <c:v>6/26/2018</c:v>
                </c:pt>
                <c:pt idx="585">
                  <c:v>6/27/2018</c:v>
                </c:pt>
                <c:pt idx="586">
                  <c:v>6/28/2018</c:v>
                </c:pt>
                <c:pt idx="587">
                  <c:v>6/29/2018</c:v>
                </c:pt>
                <c:pt idx="588">
                  <c:v>7/2/2018</c:v>
                </c:pt>
                <c:pt idx="589">
                  <c:v>7/3/2018</c:v>
                </c:pt>
                <c:pt idx="590">
                  <c:v>7/4/2018</c:v>
                </c:pt>
                <c:pt idx="591">
                  <c:v>7/5/2018</c:v>
                </c:pt>
                <c:pt idx="592">
                  <c:v>7/6/2018</c:v>
                </c:pt>
                <c:pt idx="593">
                  <c:v>7/9/2018</c:v>
                </c:pt>
                <c:pt idx="594">
                  <c:v>7/10/2018</c:v>
                </c:pt>
                <c:pt idx="595">
                  <c:v>7/11/2018</c:v>
                </c:pt>
                <c:pt idx="596">
                  <c:v>7/12/2018</c:v>
                </c:pt>
                <c:pt idx="597">
                  <c:v>7/13/2018</c:v>
                </c:pt>
                <c:pt idx="598">
                  <c:v>7/16/2018</c:v>
                </c:pt>
                <c:pt idx="599">
                  <c:v>7/17/2018</c:v>
                </c:pt>
                <c:pt idx="600">
                  <c:v>7/18/2018</c:v>
                </c:pt>
                <c:pt idx="601">
                  <c:v>7/19/2018</c:v>
                </c:pt>
                <c:pt idx="602">
                  <c:v>7/20/2018</c:v>
                </c:pt>
                <c:pt idx="603">
                  <c:v>7/23/2018</c:v>
                </c:pt>
                <c:pt idx="604">
                  <c:v>7/24/2018</c:v>
                </c:pt>
                <c:pt idx="605">
                  <c:v>7/25/2018</c:v>
                </c:pt>
                <c:pt idx="606">
                  <c:v>7/26/2018</c:v>
                </c:pt>
                <c:pt idx="607">
                  <c:v>7/27/2018</c:v>
                </c:pt>
                <c:pt idx="608">
                  <c:v>7/30/2018</c:v>
                </c:pt>
                <c:pt idx="609">
                  <c:v>7/31/2018</c:v>
                </c:pt>
                <c:pt idx="610">
                  <c:v>8/1/2018</c:v>
                </c:pt>
                <c:pt idx="611">
                  <c:v>8/2/2018</c:v>
                </c:pt>
                <c:pt idx="612">
                  <c:v>8/3/2018</c:v>
                </c:pt>
                <c:pt idx="613">
                  <c:v>8/6/2018</c:v>
                </c:pt>
                <c:pt idx="614">
                  <c:v>8/7/2018</c:v>
                </c:pt>
                <c:pt idx="615">
                  <c:v>8/8/2018</c:v>
                </c:pt>
                <c:pt idx="616">
                  <c:v>8/9/2018</c:v>
                </c:pt>
                <c:pt idx="617">
                  <c:v>8/10/2018</c:v>
                </c:pt>
                <c:pt idx="618">
                  <c:v>8/13/2018</c:v>
                </c:pt>
                <c:pt idx="619">
                  <c:v>8/14/2018</c:v>
                </c:pt>
                <c:pt idx="620">
                  <c:v>8/15/2018</c:v>
                </c:pt>
                <c:pt idx="621">
                  <c:v>8/16/2018</c:v>
                </c:pt>
                <c:pt idx="622">
                  <c:v>8/17/2018</c:v>
                </c:pt>
                <c:pt idx="623">
                  <c:v>8/20/2018</c:v>
                </c:pt>
                <c:pt idx="624">
                  <c:v>8/21/2018</c:v>
                </c:pt>
                <c:pt idx="625">
                  <c:v>8/22/2018</c:v>
                </c:pt>
                <c:pt idx="626">
                  <c:v>8/23/2018</c:v>
                </c:pt>
                <c:pt idx="627">
                  <c:v>8/24/2018</c:v>
                </c:pt>
                <c:pt idx="628">
                  <c:v>8/27/2018</c:v>
                </c:pt>
                <c:pt idx="629">
                  <c:v>8/28/2018</c:v>
                </c:pt>
                <c:pt idx="630">
                  <c:v>8/29/2018</c:v>
                </c:pt>
                <c:pt idx="631">
                  <c:v>8/30/2018</c:v>
                </c:pt>
                <c:pt idx="632">
                  <c:v>8/31/2018</c:v>
                </c:pt>
                <c:pt idx="633">
                  <c:v>9/3/2018</c:v>
                </c:pt>
                <c:pt idx="634">
                  <c:v>9/4/2018</c:v>
                </c:pt>
                <c:pt idx="635">
                  <c:v>9/5/2018</c:v>
                </c:pt>
                <c:pt idx="636">
                  <c:v>9/6/2018</c:v>
                </c:pt>
                <c:pt idx="637">
                  <c:v>9/7/2018</c:v>
                </c:pt>
                <c:pt idx="638">
                  <c:v>9/10/2018</c:v>
                </c:pt>
                <c:pt idx="639">
                  <c:v>9/11/2018</c:v>
                </c:pt>
                <c:pt idx="640">
                  <c:v>9/12/2018</c:v>
                </c:pt>
                <c:pt idx="641">
                  <c:v>9/13/2018</c:v>
                </c:pt>
                <c:pt idx="642">
                  <c:v>9/14/2018</c:v>
                </c:pt>
                <c:pt idx="643">
                  <c:v>9/17/2018</c:v>
                </c:pt>
                <c:pt idx="644">
                  <c:v>9/18/2018</c:v>
                </c:pt>
                <c:pt idx="645">
                  <c:v>9/19/2018</c:v>
                </c:pt>
                <c:pt idx="646">
                  <c:v>9/20/2018</c:v>
                </c:pt>
                <c:pt idx="647">
                  <c:v>9/21/2018</c:v>
                </c:pt>
                <c:pt idx="648">
                  <c:v>9/24/2018</c:v>
                </c:pt>
                <c:pt idx="649">
                  <c:v>9/25/2018</c:v>
                </c:pt>
                <c:pt idx="650">
                  <c:v>9/26/2018</c:v>
                </c:pt>
                <c:pt idx="651">
                  <c:v>9/27/2018</c:v>
                </c:pt>
                <c:pt idx="652">
                  <c:v>9/28/2018</c:v>
                </c:pt>
                <c:pt idx="653">
                  <c:v>10/1/2018</c:v>
                </c:pt>
                <c:pt idx="654">
                  <c:v>10/2/2018</c:v>
                </c:pt>
                <c:pt idx="655">
                  <c:v>10/3/2018</c:v>
                </c:pt>
                <c:pt idx="656">
                  <c:v>10/4/2018</c:v>
                </c:pt>
                <c:pt idx="657">
                  <c:v>10/5/2018</c:v>
                </c:pt>
                <c:pt idx="658">
                  <c:v>10/8/2018</c:v>
                </c:pt>
                <c:pt idx="659">
                  <c:v>10/9/2018</c:v>
                </c:pt>
                <c:pt idx="660">
                  <c:v>10/10/2018</c:v>
                </c:pt>
                <c:pt idx="661">
                  <c:v>10/11/2018</c:v>
                </c:pt>
                <c:pt idx="662">
                  <c:v>10/12/2018</c:v>
                </c:pt>
                <c:pt idx="663">
                  <c:v>10/15/2018</c:v>
                </c:pt>
                <c:pt idx="664">
                  <c:v>10/16/2018</c:v>
                </c:pt>
                <c:pt idx="665">
                  <c:v>10/17/2018</c:v>
                </c:pt>
                <c:pt idx="666">
                  <c:v>10/18/2018</c:v>
                </c:pt>
                <c:pt idx="667">
                  <c:v>10/19/2018</c:v>
                </c:pt>
                <c:pt idx="668">
                  <c:v>10/22/2018</c:v>
                </c:pt>
                <c:pt idx="669">
                  <c:v>10/23/2018</c:v>
                </c:pt>
                <c:pt idx="670">
                  <c:v>10/24/2018</c:v>
                </c:pt>
                <c:pt idx="671">
                  <c:v>10/25/2018</c:v>
                </c:pt>
                <c:pt idx="672">
                  <c:v>10/26/2018</c:v>
                </c:pt>
                <c:pt idx="673">
                  <c:v>10/29/2018</c:v>
                </c:pt>
                <c:pt idx="674">
                  <c:v>10/30/2018</c:v>
                </c:pt>
                <c:pt idx="675">
                  <c:v>10/31/2018</c:v>
                </c:pt>
                <c:pt idx="676">
                  <c:v>11/1/2018</c:v>
                </c:pt>
                <c:pt idx="677">
                  <c:v>11/2/2018</c:v>
                </c:pt>
                <c:pt idx="678">
                  <c:v>11/5/2018</c:v>
                </c:pt>
                <c:pt idx="679">
                  <c:v>11/6/2018</c:v>
                </c:pt>
                <c:pt idx="680">
                  <c:v>11/7/2018</c:v>
                </c:pt>
                <c:pt idx="681">
                  <c:v>11/8/2018</c:v>
                </c:pt>
                <c:pt idx="682">
                  <c:v>11/9/2018</c:v>
                </c:pt>
                <c:pt idx="683">
                  <c:v>11/12/2018</c:v>
                </c:pt>
                <c:pt idx="684">
                  <c:v>11/13/2018</c:v>
                </c:pt>
                <c:pt idx="685">
                  <c:v>11/14/2018</c:v>
                </c:pt>
                <c:pt idx="686">
                  <c:v>11/15/2018</c:v>
                </c:pt>
                <c:pt idx="687">
                  <c:v>11/16/2018</c:v>
                </c:pt>
                <c:pt idx="688">
                  <c:v>11/19/2018</c:v>
                </c:pt>
                <c:pt idx="689">
                  <c:v>11/20/2018</c:v>
                </c:pt>
                <c:pt idx="690">
                  <c:v>11/21/2018</c:v>
                </c:pt>
                <c:pt idx="691">
                  <c:v>11/22/2018</c:v>
                </c:pt>
                <c:pt idx="692">
                  <c:v>11/23/2018</c:v>
                </c:pt>
                <c:pt idx="693">
                  <c:v>11/26/2018</c:v>
                </c:pt>
                <c:pt idx="694">
                  <c:v>11/27/2018</c:v>
                </c:pt>
                <c:pt idx="695">
                  <c:v>11/28/2018</c:v>
                </c:pt>
                <c:pt idx="696">
                  <c:v>11/29/2018</c:v>
                </c:pt>
                <c:pt idx="697">
                  <c:v>11/30/2018</c:v>
                </c:pt>
                <c:pt idx="698">
                  <c:v>12/3/2018</c:v>
                </c:pt>
                <c:pt idx="699">
                  <c:v>12/4/2018</c:v>
                </c:pt>
                <c:pt idx="700">
                  <c:v>12/5/2018</c:v>
                </c:pt>
                <c:pt idx="701">
                  <c:v>12/6/2018</c:v>
                </c:pt>
                <c:pt idx="702">
                  <c:v>12/7/2018</c:v>
                </c:pt>
                <c:pt idx="703">
                  <c:v>12/10/2018</c:v>
                </c:pt>
                <c:pt idx="704">
                  <c:v>12/11/2018</c:v>
                </c:pt>
                <c:pt idx="705">
                  <c:v>12/12/2018</c:v>
                </c:pt>
                <c:pt idx="706">
                  <c:v>12/13/2018</c:v>
                </c:pt>
                <c:pt idx="707">
                  <c:v>12/14/2018</c:v>
                </c:pt>
                <c:pt idx="708">
                  <c:v>12/17/2018</c:v>
                </c:pt>
                <c:pt idx="709">
                  <c:v>12/18/2018</c:v>
                </c:pt>
                <c:pt idx="710">
                  <c:v>12/19/2018</c:v>
                </c:pt>
                <c:pt idx="711">
                  <c:v>12/20/2018</c:v>
                </c:pt>
                <c:pt idx="712">
                  <c:v>12/21/2018</c:v>
                </c:pt>
                <c:pt idx="713">
                  <c:v>12/24/2018</c:v>
                </c:pt>
                <c:pt idx="714">
                  <c:v>12/25/2018</c:v>
                </c:pt>
                <c:pt idx="715">
                  <c:v>12/26/2018</c:v>
                </c:pt>
                <c:pt idx="716">
                  <c:v>12/27/2018</c:v>
                </c:pt>
                <c:pt idx="717">
                  <c:v>12/28/2018</c:v>
                </c:pt>
                <c:pt idx="718">
                  <c:v>12/31/2018</c:v>
                </c:pt>
                <c:pt idx="719">
                  <c:v>1/1/2019</c:v>
                </c:pt>
                <c:pt idx="720">
                  <c:v>1/2/2019</c:v>
                </c:pt>
                <c:pt idx="721">
                  <c:v>1/3/2019</c:v>
                </c:pt>
                <c:pt idx="722">
                  <c:v>1/4/2019</c:v>
                </c:pt>
                <c:pt idx="723">
                  <c:v>1/7/2019</c:v>
                </c:pt>
                <c:pt idx="724">
                  <c:v>1/8/2019</c:v>
                </c:pt>
                <c:pt idx="725">
                  <c:v>1/9/2019</c:v>
                </c:pt>
                <c:pt idx="726">
                  <c:v>1/10/2019</c:v>
                </c:pt>
                <c:pt idx="727">
                  <c:v>1/11/2019</c:v>
                </c:pt>
                <c:pt idx="728">
                  <c:v>1/14/2019</c:v>
                </c:pt>
                <c:pt idx="729">
                  <c:v>1/15/2019</c:v>
                </c:pt>
                <c:pt idx="730">
                  <c:v>1/16/2019</c:v>
                </c:pt>
                <c:pt idx="731">
                  <c:v>1/17/2019</c:v>
                </c:pt>
                <c:pt idx="732">
                  <c:v>1/18/2019</c:v>
                </c:pt>
                <c:pt idx="733">
                  <c:v>1/21/2019</c:v>
                </c:pt>
                <c:pt idx="734">
                  <c:v>1/22/2019</c:v>
                </c:pt>
                <c:pt idx="735">
                  <c:v>1/23/2019</c:v>
                </c:pt>
                <c:pt idx="736">
                  <c:v>1/24/2019</c:v>
                </c:pt>
                <c:pt idx="737">
                  <c:v>1/25/2019</c:v>
                </c:pt>
                <c:pt idx="738">
                  <c:v>1/28/2019</c:v>
                </c:pt>
                <c:pt idx="739">
                  <c:v>1/29/2019</c:v>
                </c:pt>
                <c:pt idx="740">
                  <c:v>1/30/2019</c:v>
                </c:pt>
                <c:pt idx="741">
                  <c:v>1/31/2019</c:v>
                </c:pt>
                <c:pt idx="742">
                  <c:v>2/1/2019</c:v>
                </c:pt>
                <c:pt idx="743">
                  <c:v>2/4/2019</c:v>
                </c:pt>
                <c:pt idx="744">
                  <c:v>2/5/2019</c:v>
                </c:pt>
                <c:pt idx="745">
                  <c:v>2/6/2019</c:v>
                </c:pt>
                <c:pt idx="746">
                  <c:v>2/7/2019</c:v>
                </c:pt>
                <c:pt idx="747">
                  <c:v>2/8/2019</c:v>
                </c:pt>
                <c:pt idx="748">
                  <c:v>2/11/2019</c:v>
                </c:pt>
                <c:pt idx="749">
                  <c:v>2/12/2019</c:v>
                </c:pt>
                <c:pt idx="750">
                  <c:v>2/13/2019</c:v>
                </c:pt>
                <c:pt idx="751">
                  <c:v>2/14/2019</c:v>
                </c:pt>
                <c:pt idx="752">
                  <c:v>2/15/2019</c:v>
                </c:pt>
                <c:pt idx="753">
                  <c:v>2/18/2019</c:v>
                </c:pt>
                <c:pt idx="754">
                  <c:v>2/19/2019</c:v>
                </c:pt>
                <c:pt idx="755">
                  <c:v>2/20/2019</c:v>
                </c:pt>
                <c:pt idx="756">
                  <c:v>2/21/2019</c:v>
                </c:pt>
                <c:pt idx="757">
                  <c:v>2/22/2019</c:v>
                </c:pt>
                <c:pt idx="758">
                  <c:v>2/25/2019</c:v>
                </c:pt>
                <c:pt idx="759">
                  <c:v>2/26/2019</c:v>
                </c:pt>
                <c:pt idx="760">
                  <c:v>2/27/2019</c:v>
                </c:pt>
                <c:pt idx="761">
                  <c:v>2/28/2019</c:v>
                </c:pt>
                <c:pt idx="762">
                  <c:v>3/1/2019</c:v>
                </c:pt>
                <c:pt idx="763">
                  <c:v>3/4/2019</c:v>
                </c:pt>
                <c:pt idx="764">
                  <c:v>3/5/2019</c:v>
                </c:pt>
                <c:pt idx="765">
                  <c:v>3/6/2019</c:v>
                </c:pt>
                <c:pt idx="766">
                  <c:v>3/7/2019</c:v>
                </c:pt>
                <c:pt idx="767">
                  <c:v>3/8/2019</c:v>
                </c:pt>
                <c:pt idx="768">
                  <c:v>3/11/2019</c:v>
                </c:pt>
                <c:pt idx="769">
                  <c:v>3/12/2019</c:v>
                </c:pt>
                <c:pt idx="770">
                  <c:v>3/13/2019</c:v>
                </c:pt>
                <c:pt idx="771">
                  <c:v>3/14/2019</c:v>
                </c:pt>
                <c:pt idx="772">
                  <c:v>3/15/2019</c:v>
                </c:pt>
                <c:pt idx="773">
                  <c:v>3/18/2019</c:v>
                </c:pt>
                <c:pt idx="774">
                  <c:v>3/19/2019</c:v>
                </c:pt>
                <c:pt idx="775">
                  <c:v>3/20/2019</c:v>
                </c:pt>
                <c:pt idx="776">
                  <c:v>3/21/2019</c:v>
                </c:pt>
                <c:pt idx="777">
                  <c:v>3/22/2019</c:v>
                </c:pt>
                <c:pt idx="778">
                  <c:v>3/25/2019</c:v>
                </c:pt>
                <c:pt idx="779">
                  <c:v>3/26/2019</c:v>
                </c:pt>
                <c:pt idx="780">
                  <c:v>3/27/2019</c:v>
                </c:pt>
                <c:pt idx="781">
                  <c:v>3/28/2019</c:v>
                </c:pt>
                <c:pt idx="782">
                  <c:v>3/29/2019</c:v>
                </c:pt>
                <c:pt idx="783">
                  <c:v>4/1/2019</c:v>
                </c:pt>
                <c:pt idx="784">
                  <c:v>4/2/2019</c:v>
                </c:pt>
                <c:pt idx="785">
                  <c:v>4/3/2019</c:v>
                </c:pt>
                <c:pt idx="786">
                  <c:v>4/4/2019</c:v>
                </c:pt>
                <c:pt idx="787">
                  <c:v>4/5/2019</c:v>
                </c:pt>
                <c:pt idx="788">
                  <c:v>4/8/2019</c:v>
                </c:pt>
                <c:pt idx="789">
                  <c:v>4/9/2019</c:v>
                </c:pt>
                <c:pt idx="790">
                  <c:v>4/10/2019</c:v>
                </c:pt>
                <c:pt idx="791">
                  <c:v>4/11/2019</c:v>
                </c:pt>
                <c:pt idx="792">
                  <c:v>4/12/2019</c:v>
                </c:pt>
                <c:pt idx="793">
                  <c:v>4/15/2019</c:v>
                </c:pt>
                <c:pt idx="794">
                  <c:v>4/16/2019</c:v>
                </c:pt>
                <c:pt idx="795">
                  <c:v>4/17/2019</c:v>
                </c:pt>
                <c:pt idx="796">
                  <c:v>4/18/2019</c:v>
                </c:pt>
                <c:pt idx="797">
                  <c:v>4/19/2019</c:v>
                </c:pt>
                <c:pt idx="798">
                  <c:v>4/22/2019</c:v>
                </c:pt>
                <c:pt idx="799">
                  <c:v>4/23/2019</c:v>
                </c:pt>
                <c:pt idx="800">
                  <c:v>4/24/2019</c:v>
                </c:pt>
                <c:pt idx="801">
                  <c:v>4/25/2019</c:v>
                </c:pt>
                <c:pt idx="802">
                  <c:v>4/26/2019</c:v>
                </c:pt>
                <c:pt idx="803">
                  <c:v>4/29/2019</c:v>
                </c:pt>
                <c:pt idx="804">
                  <c:v>4/30/2019</c:v>
                </c:pt>
                <c:pt idx="805">
                  <c:v>5/1/2019</c:v>
                </c:pt>
                <c:pt idx="806">
                  <c:v>5/2/2019</c:v>
                </c:pt>
                <c:pt idx="807">
                  <c:v>5/3/2019</c:v>
                </c:pt>
                <c:pt idx="808">
                  <c:v>5/6/2019</c:v>
                </c:pt>
                <c:pt idx="809">
                  <c:v>5/7/2019</c:v>
                </c:pt>
                <c:pt idx="810">
                  <c:v>5/8/2019</c:v>
                </c:pt>
                <c:pt idx="811">
                  <c:v>5/9/2019</c:v>
                </c:pt>
                <c:pt idx="812">
                  <c:v>5/10/2019</c:v>
                </c:pt>
                <c:pt idx="813">
                  <c:v>5/13/2019</c:v>
                </c:pt>
                <c:pt idx="814">
                  <c:v>5/14/2019</c:v>
                </c:pt>
                <c:pt idx="815">
                  <c:v>5/15/2019</c:v>
                </c:pt>
                <c:pt idx="816">
                  <c:v>5/16/2019</c:v>
                </c:pt>
                <c:pt idx="817">
                  <c:v>5/17/2019</c:v>
                </c:pt>
                <c:pt idx="818">
                  <c:v>5/20/2019</c:v>
                </c:pt>
                <c:pt idx="819">
                  <c:v>5/21/2019</c:v>
                </c:pt>
                <c:pt idx="820">
                  <c:v>5/22/2019</c:v>
                </c:pt>
                <c:pt idx="821">
                  <c:v>5/23/2019</c:v>
                </c:pt>
                <c:pt idx="822">
                  <c:v>5/24/2019</c:v>
                </c:pt>
                <c:pt idx="823">
                  <c:v>5/27/2019</c:v>
                </c:pt>
                <c:pt idx="824">
                  <c:v>5/28/2019</c:v>
                </c:pt>
                <c:pt idx="825">
                  <c:v>5/29/2019</c:v>
                </c:pt>
                <c:pt idx="826">
                  <c:v>5/30/2019</c:v>
                </c:pt>
                <c:pt idx="827">
                  <c:v>5/31/2019</c:v>
                </c:pt>
                <c:pt idx="828">
                  <c:v>6/3/2019</c:v>
                </c:pt>
                <c:pt idx="829">
                  <c:v>6/4/2019</c:v>
                </c:pt>
                <c:pt idx="830">
                  <c:v>6/5/2019</c:v>
                </c:pt>
                <c:pt idx="831">
                  <c:v>6/6/2019</c:v>
                </c:pt>
                <c:pt idx="832">
                  <c:v>6/7/2019</c:v>
                </c:pt>
                <c:pt idx="833">
                  <c:v>6/10/2019</c:v>
                </c:pt>
                <c:pt idx="834">
                  <c:v>6/11/2019</c:v>
                </c:pt>
                <c:pt idx="835">
                  <c:v>6/12/2019</c:v>
                </c:pt>
                <c:pt idx="836">
                  <c:v>6/13/2019</c:v>
                </c:pt>
                <c:pt idx="837">
                  <c:v>6/14/2019</c:v>
                </c:pt>
                <c:pt idx="838">
                  <c:v>6/17/2019</c:v>
                </c:pt>
                <c:pt idx="839">
                  <c:v>6/18/2019</c:v>
                </c:pt>
                <c:pt idx="840">
                  <c:v>6/19/2019</c:v>
                </c:pt>
                <c:pt idx="841">
                  <c:v>6/20/2019</c:v>
                </c:pt>
                <c:pt idx="842">
                  <c:v>6/21/2019</c:v>
                </c:pt>
                <c:pt idx="843">
                  <c:v>6/24/2019</c:v>
                </c:pt>
                <c:pt idx="844">
                  <c:v>6/25/2019</c:v>
                </c:pt>
                <c:pt idx="845">
                  <c:v>6/26/2019</c:v>
                </c:pt>
                <c:pt idx="846">
                  <c:v>6/27/2019</c:v>
                </c:pt>
                <c:pt idx="847">
                  <c:v>6/28/2019</c:v>
                </c:pt>
                <c:pt idx="848">
                  <c:v>7/1/2019</c:v>
                </c:pt>
                <c:pt idx="849">
                  <c:v>7/2/2019</c:v>
                </c:pt>
                <c:pt idx="850">
                  <c:v>7/3/2019</c:v>
                </c:pt>
                <c:pt idx="851">
                  <c:v>7/4/2019</c:v>
                </c:pt>
                <c:pt idx="852">
                  <c:v>7/5/2019</c:v>
                </c:pt>
                <c:pt idx="853">
                  <c:v>7/8/2019</c:v>
                </c:pt>
                <c:pt idx="854">
                  <c:v>7/9/2019</c:v>
                </c:pt>
                <c:pt idx="855">
                  <c:v>7/10/2019</c:v>
                </c:pt>
                <c:pt idx="856">
                  <c:v>7/11/2019</c:v>
                </c:pt>
                <c:pt idx="857">
                  <c:v>7/12/2019</c:v>
                </c:pt>
                <c:pt idx="858">
                  <c:v>7/15/2019</c:v>
                </c:pt>
                <c:pt idx="859">
                  <c:v>7/16/2019</c:v>
                </c:pt>
                <c:pt idx="860">
                  <c:v>7/17/2019</c:v>
                </c:pt>
                <c:pt idx="861">
                  <c:v>7/18/2019</c:v>
                </c:pt>
                <c:pt idx="862">
                  <c:v>7/19/2019</c:v>
                </c:pt>
                <c:pt idx="863">
                  <c:v>7/22/2019</c:v>
                </c:pt>
                <c:pt idx="864">
                  <c:v>7/23/2019</c:v>
                </c:pt>
                <c:pt idx="865">
                  <c:v>7/24/2019</c:v>
                </c:pt>
                <c:pt idx="866">
                  <c:v>7/25/2019</c:v>
                </c:pt>
                <c:pt idx="867">
                  <c:v>7/26/2019</c:v>
                </c:pt>
                <c:pt idx="868">
                  <c:v>7/29/2019</c:v>
                </c:pt>
                <c:pt idx="869">
                  <c:v>7/30/2019</c:v>
                </c:pt>
                <c:pt idx="870">
                  <c:v>7/31/2019</c:v>
                </c:pt>
                <c:pt idx="871">
                  <c:v>8/1/2019</c:v>
                </c:pt>
                <c:pt idx="872">
                  <c:v>8/2/2019</c:v>
                </c:pt>
                <c:pt idx="873">
                  <c:v>8/5/2019</c:v>
                </c:pt>
                <c:pt idx="874">
                  <c:v>8/6/2019</c:v>
                </c:pt>
                <c:pt idx="875">
                  <c:v>8/7/2019</c:v>
                </c:pt>
                <c:pt idx="876">
                  <c:v>8/8/2019</c:v>
                </c:pt>
                <c:pt idx="877">
                  <c:v>8/9/2019</c:v>
                </c:pt>
                <c:pt idx="878">
                  <c:v>8/12/2019</c:v>
                </c:pt>
                <c:pt idx="879">
                  <c:v>8/13/2019</c:v>
                </c:pt>
                <c:pt idx="880">
                  <c:v>8/14/2019</c:v>
                </c:pt>
                <c:pt idx="881">
                  <c:v>8/15/2019</c:v>
                </c:pt>
                <c:pt idx="882">
                  <c:v>8/16/2019</c:v>
                </c:pt>
                <c:pt idx="883">
                  <c:v>8/19/2019</c:v>
                </c:pt>
                <c:pt idx="884">
                  <c:v>8/20/2019</c:v>
                </c:pt>
                <c:pt idx="885">
                  <c:v>8/21/2019</c:v>
                </c:pt>
                <c:pt idx="886">
                  <c:v>8/22/2019</c:v>
                </c:pt>
                <c:pt idx="887">
                  <c:v>8/23/2019</c:v>
                </c:pt>
                <c:pt idx="888">
                  <c:v>8/26/2019</c:v>
                </c:pt>
                <c:pt idx="889">
                  <c:v>8/27/2019</c:v>
                </c:pt>
                <c:pt idx="890">
                  <c:v>8/28/2019</c:v>
                </c:pt>
                <c:pt idx="891">
                  <c:v>8/29/2019</c:v>
                </c:pt>
                <c:pt idx="892">
                  <c:v>8/30/2019</c:v>
                </c:pt>
                <c:pt idx="893">
                  <c:v>9/2/2019</c:v>
                </c:pt>
                <c:pt idx="894">
                  <c:v>9/3/2019</c:v>
                </c:pt>
                <c:pt idx="895">
                  <c:v>9/4/2019</c:v>
                </c:pt>
                <c:pt idx="896">
                  <c:v>9/5/2019</c:v>
                </c:pt>
                <c:pt idx="897">
                  <c:v>9/6/2019</c:v>
                </c:pt>
                <c:pt idx="898">
                  <c:v>9/9/2019</c:v>
                </c:pt>
                <c:pt idx="899">
                  <c:v>9/10/2019</c:v>
                </c:pt>
                <c:pt idx="900">
                  <c:v>9/11/2019</c:v>
                </c:pt>
                <c:pt idx="901">
                  <c:v>9/12/2019</c:v>
                </c:pt>
                <c:pt idx="902">
                  <c:v>9/13/2019</c:v>
                </c:pt>
                <c:pt idx="903">
                  <c:v>9/16/2019</c:v>
                </c:pt>
                <c:pt idx="904">
                  <c:v>9/17/2019</c:v>
                </c:pt>
                <c:pt idx="905">
                  <c:v>9/18/2019</c:v>
                </c:pt>
                <c:pt idx="906">
                  <c:v>9/19/2019</c:v>
                </c:pt>
                <c:pt idx="907">
                  <c:v>9/20/2019</c:v>
                </c:pt>
                <c:pt idx="908">
                  <c:v>9/23/2019</c:v>
                </c:pt>
                <c:pt idx="909">
                  <c:v>9/24/2019</c:v>
                </c:pt>
                <c:pt idx="910">
                  <c:v>9/25/2019</c:v>
                </c:pt>
                <c:pt idx="911">
                  <c:v>9/26/2019</c:v>
                </c:pt>
                <c:pt idx="912">
                  <c:v>9/27/2019</c:v>
                </c:pt>
                <c:pt idx="913">
                  <c:v>9/30/2019</c:v>
                </c:pt>
                <c:pt idx="914">
                  <c:v>10/1/2019</c:v>
                </c:pt>
                <c:pt idx="915">
                  <c:v>10/2/2019</c:v>
                </c:pt>
                <c:pt idx="916">
                  <c:v>10/3/2019</c:v>
                </c:pt>
                <c:pt idx="917">
                  <c:v>10/4/2019</c:v>
                </c:pt>
                <c:pt idx="918">
                  <c:v>10/7/2019</c:v>
                </c:pt>
                <c:pt idx="919">
                  <c:v>10/8/2019</c:v>
                </c:pt>
                <c:pt idx="920">
                  <c:v>10/9/2019</c:v>
                </c:pt>
                <c:pt idx="921">
                  <c:v>10/10/2019</c:v>
                </c:pt>
                <c:pt idx="922">
                  <c:v>10/11/2019</c:v>
                </c:pt>
                <c:pt idx="923">
                  <c:v>10/14/2019</c:v>
                </c:pt>
                <c:pt idx="924">
                  <c:v>10/15/2019</c:v>
                </c:pt>
                <c:pt idx="925">
                  <c:v>10/16/2019</c:v>
                </c:pt>
                <c:pt idx="926">
                  <c:v>10/17/2019</c:v>
                </c:pt>
                <c:pt idx="927">
                  <c:v>10/18/2019</c:v>
                </c:pt>
                <c:pt idx="928">
                  <c:v>10/21/2019</c:v>
                </c:pt>
                <c:pt idx="929">
                  <c:v>10/22/2019</c:v>
                </c:pt>
                <c:pt idx="930">
                  <c:v>10/23/2019</c:v>
                </c:pt>
                <c:pt idx="931">
                  <c:v>10/24/2019</c:v>
                </c:pt>
                <c:pt idx="932">
                  <c:v>10/25/2019</c:v>
                </c:pt>
                <c:pt idx="933">
                  <c:v>10/28/2019</c:v>
                </c:pt>
                <c:pt idx="934">
                  <c:v>10/29/2019</c:v>
                </c:pt>
                <c:pt idx="935">
                  <c:v>10/30/2019</c:v>
                </c:pt>
                <c:pt idx="936">
                  <c:v>10/31/2019</c:v>
                </c:pt>
                <c:pt idx="937">
                  <c:v>11/1/2019</c:v>
                </c:pt>
                <c:pt idx="938">
                  <c:v>11/4/2019</c:v>
                </c:pt>
                <c:pt idx="939">
                  <c:v>11/5/2019</c:v>
                </c:pt>
                <c:pt idx="940">
                  <c:v>11/6/2019</c:v>
                </c:pt>
                <c:pt idx="941">
                  <c:v>11/7/2019</c:v>
                </c:pt>
                <c:pt idx="942">
                  <c:v>11/8/2019</c:v>
                </c:pt>
                <c:pt idx="943">
                  <c:v>11/11/2019</c:v>
                </c:pt>
                <c:pt idx="944">
                  <c:v>11/12/2019</c:v>
                </c:pt>
                <c:pt idx="945">
                  <c:v>11/13/2019</c:v>
                </c:pt>
                <c:pt idx="946">
                  <c:v>11/14/2019</c:v>
                </c:pt>
                <c:pt idx="947">
                  <c:v>11/15/2019</c:v>
                </c:pt>
                <c:pt idx="948">
                  <c:v>11/18/2019</c:v>
                </c:pt>
                <c:pt idx="949">
                  <c:v>11/19/2019</c:v>
                </c:pt>
                <c:pt idx="950">
                  <c:v>11/20/2019</c:v>
                </c:pt>
                <c:pt idx="951">
                  <c:v>11/21/2019</c:v>
                </c:pt>
                <c:pt idx="952">
                  <c:v>11/22/2019</c:v>
                </c:pt>
                <c:pt idx="953">
                  <c:v>11/25/2019</c:v>
                </c:pt>
                <c:pt idx="954">
                  <c:v>11/26/2019</c:v>
                </c:pt>
                <c:pt idx="955">
                  <c:v>11/27/2019</c:v>
                </c:pt>
                <c:pt idx="956">
                  <c:v>11/28/2019</c:v>
                </c:pt>
                <c:pt idx="957">
                  <c:v>11/29/2019</c:v>
                </c:pt>
                <c:pt idx="958">
                  <c:v>12/2/2019</c:v>
                </c:pt>
                <c:pt idx="959">
                  <c:v>12/3/2019</c:v>
                </c:pt>
                <c:pt idx="960">
                  <c:v>12/4/2019</c:v>
                </c:pt>
                <c:pt idx="961">
                  <c:v>12/5/2019</c:v>
                </c:pt>
                <c:pt idx="962">
                  <c:v>12/6/2019</c:v>
                </c:pt>
                <c:pt idx="963">
                  <c:v>12/9/2019</c:v>
                </c:pt>
                <c:pt idx="964">
                  <c:v>12/10/2019</c:v>
                </c:pt>
                <c:pt idx="965">
                  <c:v>12/11/2019</c:v>
                </c:pt>
                <c:pt idx="966">
                  <c:v>12/12/2019</c:v>
                </c:pt>
                <c:pt idx="967">
                  <c:v>12/13/2019</c:v>
                </c:pt>
                <c:pt idx="968">
                  <c:v>12/16/2019</c:v>
                </c:pt>
                <c:pt idx="969">
                  <c:v>12/17/2019</c:v>
                </c:pt>
                <c:pt idx="970">
                  <c:v>12/18/2019</c:v>
                </c:pt>
                <c:pt idx="971">
                  <c:v>12/19/2019</c:v>
                </c:pt>
                <c:pt idx="972">
                  <c:v>12/20/2019</c:v>
                </c:pt>
                <c:pt idx="973">
                  <c:v>12/23/2019</c:v>
                </c:pt>
                <c:pt idx="974">
                  <c:v>12/24/2019</c:v>
                </c:pt>
                <c:pt idx="975">
                  <c:v>12/25/2019</c:v>
                </c:pt>
                <c:pt idx="976">
                  <c:v>12/26/2019</c:v>
                </c:pt>
                <c:pt idx="977">
                  <c:v>12/27/2019</c:v>
                </c:pt>
                <c:pt idx="978">
                  <c:v>12/30/2019</c:v>
                </c:pt>
                <c:pt idx="979">
                  <c:v>12/31/2019</c:v>
                </c:pt>
                <c:pt idx="980">
                  <c:v>1/1/2020</c:v>
                </c:pt>
                <c:pt idx="981">
                  <c:v>1/2/2020</c:v>
                </c:pt>
                <c:pt idx="982">
                  <c:v>1/3/2020</c:v>
                </c:pt>
                <c:pt idx="983">
                  <c:v>1/6/2020</c:v>
                </c:pt>
                <c:pt idx="984">
                  <c:v>1/7/2020</c:v>
                </c:pt>
                <c:pt idx="985">
                  <c:v>1/8/2020</c:v>
                </c:pt>
                <c:pt idx="986">
                  <c:v>1/9/2020</c:v>
                </c:pt>
                <c:pt idx="987">
                  <c:v>1/10/2020</c:v>
                </c:pt>
                <c:pt idx="988">
                  <c:v>1/13/2020</c:v>
                </c:pt>
                <c:pt idx="989">
                  <c:v>1/14/2020</c:v>
                </c:pt>
                <c:pt idx="990">
                  <c:v>1/15/2020</c:v>
                </c:pt>
                <c:pt idx="991">
                  <c:v>1/16/2020</c:v>
                </c:pt>
                <c:pt idx="992">
                  <c:v>1/17/2020</c:v>
                </c:pt>
                <c:pt idx="993">
                  <c:v>1/20/2020</c:v>
                </c:pt>
                <c:pt idx="994">
                  <c:v>1/21/2020</c:v>
                </c:pt>
                <c:pt idx="995">
                  <c:v>1/22/2020</c:v>
                </c:pt>
                <c:pt idx="996">
                  <c:v>1/23/2020</c:v>
                </c:pt>
                <c:pt idx="997">
                  <c:v>1/24/2020</c:v>
                </c:pt>
                <c:pt idx="998">
                  <c:v>1/27/2020</c:v>
                </c:pt>
                <c:pt idx="999">
                  <c:v>1/28/2020</c:v>
                </c:pt>
                <c:pt idx="1000">
                  <c:v>1/29/2020</c:v>
                </c:pt>
                <c:pt idx="1001">
                  <c:v>1/30/2020</c:v>
                </c:pt>
                <c:pt idx="1002">
                  <c:v>1/31/2020</c:v>
                </c:pt>
                <c:pt idx="1003">
                  <c:v>2/3/2020</c:v>
                </c:pt>
                <c:pt idx="1004">
                  <c:v>2/4/2020</c:v>
                </c:pt>
                <c:pt idx="1005">
                  <c:v>2/5/2020</c:v>
                </c:pt>
                <c:pt idx="1006">
                  <c:v>2/6/2020</c:v>
                </c:pt>
                <c:pt idx="1007">
                  <c:v>2/7/2020</c:v>
                </c:pt>
                <c:pt idx="1008">
                  <c:v>2/10/2020</c:v>
                </c:pt>
                <c:pt idx="1009">
                  <c:v>2/11/2020</c:v>
                </c:pt>
                <c:pt idx="1010">
                  <c:v>2/12/2020</c:v>
                </c:pt>
                <c:pt idx="1011">
                  <c:v>2/13/2020</c:v>
                </c:pt>
                <c:pt idx="1012">
                  <c:v>2/14/2020</c:v>
                </c:pt>
                <c:pt idx="1013">
                  <c:v>2/17/2020</c:v>
                </c:pt>
                <c:pt idx="1014">
                  <c:v>2/18/2020</c:v>
                </c:pt>
                <c:pt idx="1015">
                  <c:v>2/19/2020</c:v>
                </c:pt>
                <c:pt idx="1016">
                  <c:v>2/20/2020</c:v>
                </c:pt>
                <c:pt idx="1017">
                  <c:v>2/21/2020</c:v>
                </c:pt>
                <c:pt idx="1018">
                  <c:v>2/24/2020</c:v>
                </c:pt>
                <c:pt idx="1019">
                  <c:v>2/25/2020</c:v>
                </c:pt>
                <c:pt idx="1020">
                  <c:v>2/26/2020</c:v>
                </c:pt>
                <c:pt idx="1021">
                  <c:v>2/27/2020</c:v>
                </c:pt>
                <c:pt idx="1022">
                  <c:v>2/28/2020</c:v>
                </c:pt>
                <c:pt idx="1023">
                  <c:v>3/2/2020</c:v>
                </c:pt>
                <c:pt idx="1024">
                  <c:v>3/3/2020</c:v>
                </c:pt>
                <c:pt idx="1025">
                  <c:v>3/4/2020</c:v>
                </c:pt>
                <c:pt idx="1026">
                  <c:v>3/5/2020</c:v>
                </c:pt>
                <c:pt idx="1027">
                  <c:v>3/6/2020</c:v>
                </c:pt>
                <c:pt idx="1028">
                  <c:v>3/9/2020</c:v>
                </c:pt>
                <c:pt idx="1029">
                  <c:v>3/10/2020</c:v>
                </c:pt>
                <c:pt idx="1030">
                  <c:v>3/11/2020</c:v>
                </c:pt>
                <c:pt idx="1031">
                  <c:v>3/12/2020</c:v>
                </c:pt>
                <c:pt idx="1032">
                  <c:v>3/13/2020</c:v>
                </c:pt>
                <c:pt idx="1033">
                  <c:v>3/16/2020</c:v>
                </c:pt>
                <c:pt idx="1034">
                  <c:v>3/17/2020</c:v>
                </c:pt>
                <c:pt idx="1035">
                  <c:v>3/18/2020</c:v>
                </c:pt>
                <c:pt idx="1036">
                  <c:v>3/19/2020</c:v>
                </c:pt>
                <c:pt idx="1037">
                  <c:v>3/20/2020</c:v>
                </c:pt>
                <c:pt idx="1038">
                  <c:v>3/23/2020</c:v>
                </c:pt>
                <c:pt idx="1039">
                  <c:v>3/24/2020</c:v>
                </c:pt>
                <c:pt idx="1040">
                  <c:v>3/25/2020</c:v>
                </c:pt>
                <c:pt idx="1041">
                  <c:v>3/26/2020</c:v>
                </c:pt>
                <c:pt idx="1042">
                  <c:v>3/27/2020</c:v>
                </c:pt>
                <c:pt idx="1043">
                  <c:v>3/30/2020</c:v>
                </c:pt>
                <c:pt idx="1044">
                  <c:v>3/31/2020</c:v>
                </c:pt>
                <c:pt idx="1045">
                  <c:v>4/1/2020</c:v>
                </c:pt>
                <c:pt idx="1046">
                  <c:v>4/2/2020</c:v>
                </c:pt>
                <c:pt idx="1047">
                  <c:v>4/3/2020</c:v>
                </c:pt>
                <c:pt idx="1048">
                  <c:v>4/6/2020</c:v>
                </c:pt>
                <c:pt idx="1049">
                  <c:v>4/7/2020</c:v>
                </c:pt>
                <c:pt idx="1050">
                  <c:v>4/8/2020</c:v>
                </c:pt>
                <c:pt idx="1051">
                  <c:v>4/9/2020</c:v>
                </c:pt>
                <c:pt idx="1052">
                  <c:v>4/10/2020</c:v>
                </c:pt>
                <c:pt idx="1053">
                  <c:v>4/13/2020</c:v>
                </c:pt>
                <c:pt idx="1054">
                  <c:v>4/14/2020</c:v>
                </c:pt>
                <c:pt idx="1055">
                  <c:v>4/15/2020</c:v>
                </c:pt>
                <c:pt idx="1056">
                  <c:v>4/16/2020</c:v>
                </c:pt>
                <c:pt idx="1057">
                  <c:v>4/17/2020</c:v>
                </c:pt>
                <c:pt idx="1058">
                  <c:v>4/20/2020</c:v>
                </c:pt>
                <c:pt idx="1059">
                  <c:v>4/21/2020</c:v>
                </c:pt>
                <c:pt idx="1060">
                  <c:v>4/22/2020</c:v>
                </c:pt>
                <c:pt idx="1061">
                  <c:v>4/23/2020</c:v>
                </c:pt>
                <c:pt idx="1062">
                  <c:v>4/24/2020</c:v>
                </c:pt>
                <c:pt idx="1063">
                  <c:v>4/27/2020</c:v>
                </c:pt>
                <c:pt idx="1064">
                  <c:v>4/28/2020</c:v>
                </c:pt>
                <c:pt idx="1065">
                  <c:v>4/29/2020</c:v>
                </c:pt>
                <c:pt idx="1066">
                  <c:v>4/30/2020</c:v>
                </c:pt>
                <c:pt idx="1067">
                  <c:v>5/1/2020</c:v>
                </c:pt>
                <c:pt idx="1068">
                  <c:v>5/4/2020</c:v>
                </c:pt>
                <c:pt idx="1069">
                  <c:v>5/5/2020</c:v>
                </c:pt>
                <c:pt idx="1070">
                  <c:v>5/6/2020</c:v>
                </c:pt>
                <c:pt idx="1071">
                  <c:v>5/7/2020</c:v>
                </c:pt>
                <c:pt idx="1072">
                  <c:v>5/8/2020</c:v>
                </c:pt>
                <c:pt idx="1073">
                  <c:v>5/11/2020</c:v>
                </c:pt>
                <c:pt idx="1074">
                  <c:v>5/12/2020</c:v>
                </c:pt>
                <c:pt idx="1075">
                  <c:v>5/13/2020</c:v>
                </c:pt>
                <c:pt idx="1076">
                  <c:v>5/14/2020</c:v>
                </c:pt>
                <c:pt idx="1077">
                  <c:v>5/15/2020</c:v>
                </c:pt>
                <c:pt idx="1078">
                  <c:v>5/18/2020</c:v>
                </c:pt>
                <c:pt idx="1079">
                  <c:v>5/19/2020</c:v>
                </c:pt>
                <c:pt idx="1080">
                  <c:v>5/20/2020</c:v>
                </c:pt>
                <c:pt idx="1081">
                  <c:v>5/21/2020</c:v>
                </c:pt>
                <c:pt idx="1082">
                  <c:v>5/22/2020</c:v>
                </c:pt>
                <c:pt idx="1083">
                  <c:v>5/25/2020</c:v>
                </c:pt>
                <c:pt idx="1084">
                  <c:v>5/26/2020</c:v>
                </c:pt>
                <c:pt idx="1085">
                  <c:v>5/27/2020</c:v>
                </c:pt>
                <c:pt idx="1086">
                  <c:v>5/28/2020</c:v>
                </c:pt>
                <c:pt idx="1087">
                  <c:v>5/29/2020</c:v>
                </c:pt>
                <c:pt idx="1088">
                  <c:v>6/1/2020</c:v>
                </c:pt>
                <c:pt idx="1089">
                  <c:v>6/2/2020</c:v>
                </c:pt>
                <c:pt idx="1090">
                  <c:v>6/3/2020</c:v>
                </c:pt>
                <c:pt idx="1091">
                  <c:v>6/4/2020</c:v>
                </c:pt>
                <c:pt idx="1092">
                  <c:v>6/5/2020</c:v>
                </c:pt>
                <c:pt idx="1093">
                  <c:v>6/8/2020</c:v>
                </c:pt>
                <c:pt idx="1094">
                  <c:v>6/9/2020</c:v>
                </c:pt>
                <c:pt idx="1095">
                  <c:v>6/10/2020</c:v>
                </c:pt>
                <c:pt idx="1096">
                  <c:v>6/11/2020</c:v>
                </c:pt>
                <c:pt idx="1097">
                  <c:v>6/12/2020</c:v>
                </c:pt>
                <c:pt idx="1098">
                  <c:v>6/15/2020</c:v>
                </c:pt>
                <c:pt idx="1099">
                  <c:v>6/16/2020</c:v>
                </c:pt>
                <c:pt idx="1100">
                  <c:v>6/17/2020</c:v>
                </c:pt>
                <c:pt idx="1101">
                  <c:v>6/18/2020</c:v>
                </c:pt>
                <c:pt idx="1102">
                  <c:v>6/19/2020</c:v>
                </c:pt>
                <c:pt idx="1103">
                  <c:v>6/22/2020</c:v>
                </c:pt>
                <c:pt idx="1104">
                  <c:v>6/23/2020</c:v>
                </c:pt>
                <c:pt idx="1105">
                  <c:v>6/24/2020</c:v>
                </c:pt>
                <c:pt idx="1106">
                  <c:v>6/25/2020</c:v>
                </c:pt>
                <c:pt idx="1107">
                  <c:v>6/26/2020</c:v>
                </c:pt>
                <c:pt idx="1108">
                  <c:v>6/29/2020</c:v>
                </c:pt>
                <c:pt idx="1109">
                  <c:v>6/30/2020</c:v>
                </c:pt>
                <c:pt idx="1110">
                  <c:v>7/1/2020</c:v>
                </c:pt>
                <c:pt idx="1111">
                  <c:v>7/2/2020</c:v>
                </c:pt>
                <c:pt idx="1112">
                  <c:v>7/3/2020</c:v>
                </c:pt>
                <c:pt idx="1113">
                  <c:v>7/6/2020</c:v>
                </c:pt>
                <c:pt idx="1114">
                  <c:v>7/7/2020</c:v>
                </c:pt>
                <c:pt idx="1115">
                  <c:v>7/8/2020</c:v>
                </c:pt>
                <c:pt idx="1116">
                  <c:v>7/9/2020</c:v>
                </c:pt>
                <c:pt idx="1117">
                  <c:v>7/10/2020</c:v>
                </c:pt>
                <c:pt idx="1118">
                  <c:v>7/13/2020</c:v>
                </c:pt>
                <c:pt idx="1119">
                  <c:v>7/14/2020</c:v>
                </c:pt>
                <c:pt idx="1120">
                  <c:v>7/15/2020</c:v>
                </c:pt>
                <c:pt idx="1121">
                  <c:v>7/16/2020</c:v>
                </c:pt>
                <c:pt idx="1122">
                  <c:v>7/17/2020</c:v>
                </c:pt>
                <c:pt idx="1123">
                  <c:v>7/20/2020</c:v>
                </c:pt>
                <c:pt idx="1124">
                  <c:v>7/21/2020</c:v>
                </c:pt>
                <c:pt idx="1125">
                  <c:v>7/22/2020</c:v>
                </c:pt>
                <c:pt idx="1126">
                  <c:v>7/23/2020</c:v>
                </c:pt>
                <c:pt idx="1127">
                  <c:v>7/24/2020</c:v>
                </c:pt>
                <c:pt idx="1128">
                  <c:v>7/27/2020</c:v>
                </c:pt>
                <c:pt idx="1129">
                  <c:v>7/28/2020</c:v>
                </c:pt>
                <c:pt idx="1130">
                  <c:v>7/29/2020</c:v>
                </c:pt>
                <c:pt idx="1131">
                  <c:v>7/30/2020</c:v>
                </c:pt>
                <c:pt idx="1132">
                  <c:v>7/31/2020</c:v>
                </c:pt>
                <c:pt idx="1133">
                  <c:v>8/3/2020</c:v>
                </c:pt>
                <c:pt idx="1134">
                  <c:v>8/4/2020</c:v>
                </c:pt>
                <c:pt idx="1135">
                  <c:v>8/5/2020</c:v>
                </c:pt>
                <c:pt idx="1136">
                  <c:v>8/6/2020</c:v>
                </c:pt>
                <c:pt idx="1137">
                  <c:v>8/7/2020</c:v>
                </c:pt>
                <c:pt idx="1138">
                  <c:v>8/10/2020</c:v>
                </c:pt>
                <c:pt idx="1139">
                  <c:v>8/11/2020</c:v>
                </c:pt>
                <c:pt idx="1140">
                  <c:v>8/12/2020</c:v>
                </c:pt>
                <c:pt idx="1141">
                  <c:v>8/13/2020</c:v>
                </c:pt>
                <c:pt idx="1142">
                  <c:v>8/14/2020</c:v>
                </c:pt>
                <c:pt idx="1143">
                  <c:v>8/17/2020</c:v>
                </c:pt>
                <c:pt idx="1144">
                  <c:v>8/18/2020</c:v>
                </c:pt>
                <c:pt idx="1145">
                  <c:v>8/19/2020</c:v>
                </c:pt>
                <c:pt idx="1146">
                  <c:v>8/20/2020</c:v>
                </c:pt>
                <c:pt idx="1147">
                  <c:v>8/21/2020</c:v>
                </c:pt>
                <c:pt idx="1148">
                  <c:v>8/24/2020</c:v>
                </c:pt>
                <c:pt idx="1149">
                  <c:v>8/25/2020</c:v>
                </c:pt>
                <c:pt idx="1150">
                  <c:v>8/26/2020</c:v>
                </c:pt>
                <c:pt idx="1151">
                  <c:v>8/27/2020</c:v>
                </c:pt>
                <c:pt idx="1152">
                  <c:v>8/28/2020</c:v>
                </c:pt>
                <c:pt idx="1153">
                  <c:v>8/31/2020</c:v>
                </c:pt>
                <c:pt idx="1154">
                  <c:v>9/1/2020</c:v>
                </c:pt>
                <c:pt idx="1155">
                  <c:v>9/2/2020</c:v>
                </c:pt>
                <c:pt idx="1156">
                  <c:v>9/3/2020</c:v>
                </c:pt>
                <c:pt idx="1157">
                  <c:v>9/4/2020</c:v>
                </c:pt>
                <c:pt idx="1158">
                  <c:v>9/7/2020</c:v>
                </c:pt>
                <c:pt idx="1159">
                  <c:v>9/8/2020</c:v>
                </c:pt>
                <c:pt idx="1160">
                  <c:v>9/9/2020</c:v>
                </c:pt>
                <c:pt idx="1161">
                  <c:v>9/10/2020</c:v>
                </c:pt>
                <c:pt idx="1162">
                  <c:v>9/11/2020</c:v>
                </c:pt>
                <c:pt idx="1163">
                  <c:v>9/14/2020</c:v>
                </c:pt>
                <c:pt idx="1164">
                  <c:v>9/15/2020</c:v>
                </c:pt>
                <c:pt idx="1165">
                  <c:v>9/16/2020</c:v>
                </c:pt>
                <c:pt idx="1166">
                  <c:v>9/17/2020</c:v>
                </c:pt>
                <c:pt idx="1167">
                  <c:v>9/18/2020</c:v>
                </c:pt>
                <c:pt idx="1168">
                  <c:v>9/21/2020</c:v>
                </c:pt>
                <c:pt idx="1169">
                  <c:v>9/22/2020</c:v>
                </c:pt>
                <c:pt idx="1170">
                  <c:v>9/23/2020</c:v>
                </c:pt>
                <c:pt idx="1171">
                  <c:v>9/24/2020</c:v>
                </c:pt>
                <c:pt idx="1172">
                  <c:v>9/25/2020</c:v>
                </c:pt>
                <c:pt idx="1173">
                  <c:v>9/28/2020</c:v>
                </c:pt>
                <c:pt idx="1174">
                  <c:v>9/29/2020</c:v>
                </c:pt>
                <c:pt idx="1175">
                  <c:v>9/30/2020</c:v>
                </c:pt>
                <c:pt idx="1176">
                  <c:v>10/1/2020</c:v>
                </c:pt>
                <c:pt idx="1177">
                  <c:v>10/2/2020</c:v>
                </c:pt>
                <c:pt idx="1178">
                  <c:v>10/5/2020</c:v>
                </c:pt>
                <c:pt idx="1179">
                  <c:v>10/6/2020</c:v>
                </c:pt>
                <c:pt idx="1180">
                  <c:v>10/7/2020</c:v>
                </c:pt>
                <c:pt idx="1181">
                  <c:v>10/8/2020</c:v>
                </c:pt>
                <c:pt idx="1182">
                  <c:v>10/9/2020</c:v>
                </c:pt>
                <c:pt idx="1183">
                  <c:v>10/12/2020</c:v>
                </c:pt>
                <c:pt idx="1184">
                  <c:v>10/13/2020</c:v>
                </c:pt>
                <c:pt idx="1185">
                  <c:v>10/14/2020</c:v>
                </c:pt>
                <c:pt idx="1186">
                  <c:v>10/15/2020</c:v>
                </c:pt>
                <c:pt idx="1187">
                  <c:v>10/16/2020</c:v>
                </c:pt>
                <c:pt idx="1188">
                  <c:v>10/19/2020</c:v>
                </c:pt>
                <c:pt idx="1189">
                  <c:v>10/20/2020</c:v>
                </c:pt>
                <c:pt idx="1190">
                  <c:v>10/21/2020</c:v>
                </c:pt>
                <c:pt idx="1191">
                  <c:v>10/22/2020</c:v>
                </c:pt>
                <c:pt idx="1192">
                  <c:v>10/23/2020</c:v>
                </c:pt>
                <c:pt idx="1193">
                  <c:v>10/26/2020</c:v>
                </c:pt>
                <c:pt idx="1194">
                  <c:v>10/27/2020</c:v>
                </c:pt>
                <c:pt idx="1195">
                  <c:v>10/28/2020</c:v>
                </c:pt>
                <c:pt idx="1196">
                  <c:v>10/29/2020</c:v>
                </c:pt>
                <c:pt idx="1197">
                  <c:v>10/30/2020</c:v>
                </c:pt>
                <c:pt idx="1198">
                  <c:v>11/2/2020</c:v>
                </c:pt>
                <c:pt idx="1199">
                  <c:v>11/3/2020</c:v>
                </c:pt>
                <c:pt idx="1200">
                  <c:v>11/4/2020</c:v>
                </c:pt>
                <c:pt idx="1201">
                  <c:v>11/5/2020</c:v>
                </c:pt>
                <c:pt idx="1202">
                  <c:v>11/6/2020</c:v>
                </c:pt>
                <c:pt idx="1203">
                  <c:v>11/9/2020</c:v>
                </c:pt>
                <c:pt idx="1204">
                  <c:v>11/10/2020</c:v>
                </c:pt>
                <c:pt idx="1205">
                  <c:v>11/11/2020</c:v>
                </c:pt>
                <c:pt idx="1206">
                  <c:v>11/12/2020</c:v>
                </c:pt>
                <c:pt idx="1207">
                  <c:v>11/13/2020</c:v>
                </c:pt>
                <c:pt idx="1208">
                  <c:v>11/16/2020</c:v>
                </c:pt>
                <c:pt idx="1209">
                  <c:v>11/17/2020</c:v>
                </c:pt>
                <c:pt idx="1210">
                  <c:v>11/18/2020</c:v>
                </c:pt>
                <c:pt idx="1211">
                  <c:v>11/19/2020</c:v>
                </c:pt>
                <c:pt idx="1212">
                  <c:v>11/20/2020</c:v>
                </c:pt>
                <c:pt idx="1213">
                  <c:v>11/23/2020</c:v>
                </c:pt>
                <c:pt idx="1214">
                  <c:v>11/24/2020</c:v>
                </c:pt>
                <c:pt idx="1215">
                  <c:v>11/25/2020</c:v>
                </c:pt>
                <c:pt idx="1216">
                  <c:v>11/26/2020</c:v>
                </c:pt>
                <c:pt idx="1217">
                  <c:v>11/27/2020</c:v>
                </c:pt>
                <c:pt idx="1218">
                  <c:v>11/30/2020</c:v>
                </c:pt>
                <c:pt idx="1219">
                  <c:v>12/1/2020</c:v>
                </c:pt>
                <c:pt idx="1220">
                  <c:v>12/2/2020</c:v>
                </c:pt>
                <c:pt idx="1221">
                  <c:v>12/3/2020</c:v>
                </c:pt>
                <c:pt idx="1222">
                  <c:v>12/4/2020</c:v>
                </c:pt>
                <c:pt idx="1223">
                  <c:v>12/7/2020</c:v>
                </c:pt>
                <c:pt idx="1224">
                  <c:v>12/8/2020</c:v>
                </c:pt>
                <c:pt idx="1225">
                  <c:v>12/9/2020</c:v>
                </c:pt>
                <c:pt idx="1226">
                  <c:v>12/10/2020</c:v>
                </c:pt>
                <c:pt idx="1227">
                  <c:v>12/11/2020</c:v>
                </c:pt>
                <c:pt idx="1228">
                  <c:v>12/14/2020</c:v>
                </c:pt>
                <c:pt idx="1229">
                  <c:v>12/15/2020</c:v>
                </c:pt>
                <c:pt idx="1230">
                  <c:v>12/16/2020</c:v>
                </c:pt>
                <c:pt idx="1231">
                  <c:v>12/17/2020</c:v>
                </c:pt>
                <c:pt idx="1232">
                  <c:v>12/18/2020</c:v>
                </c:pt>
                <c:pt idx="1233">
                  <c:v>12/21/2020</c:v>
                </c:pt>
                <c:pt idx="1234">
                  <c:v>12/22/2020</c:v>
                </c:pt>
                <c:pt idx="1235">
                  <c:v>12/23/2020</c:v>
                </c:pt>
                <c:pt idx="1236">
                  <c:v>12/24/2020</c:v>
                </c:pt>
                <c:pt idx="1237">
                  <c:v>12/25/2020</c:v>
                </c:pt>
                <c:pt idx="1238">
                  <c:v>12/28/2020</c:v>
                </c:pt>
                <c:pt idx="1239">
                  <c:v>12/29/2020</c:v>
                </c:pt>
                <c:pt idx="1240">
                  <c:v>12/30/2020</c:v>
                </c:pt>
                <c:pt idx="1241">
                  <c:v>12/31/2020</c:v>
                </c:pt>
                <c:pt idx="1242">
                  <c:v>1/1/2021</c:v>
                </c:pt>
                <c:pt idx="1243">
                  <c:v>1/4/2021</c:v>
                </c:pt>
                <c:pt idx="1244">
                  <c:v>1/5/2021</c:v>
                </c:pt>
                <c:pt idx="1245">
                  <c:v>1/6/2021</c:v>
                </c:pt>
                <c:pt idx="1246">
                  <c:v>1/7/2021</c:v>
                </c:pt>
                <c:pt idx="1247">
                  <c:v>1/8/2021</c:v>
                </c:pt>
                <c:pt idx="1248">
                  <c:v>1/11/2021</c:v>
                </c:pt>
                <c:pt idx="1249">
                  <c:v>1/12/2021</c:v>
                </c:pt>
                <c:pt idx="1250">
                  <c:v>1/13/2021</c:v>
                </c:pt>
                <c:pt idx="1251">
                  <c:v>1/14/2021</c:v>
                </c:pt>
                <c:pt idx="1252">
                  <c:v>1/15/2021</c:v>
                </c:pt>
                <c:pt idx="1253">
                  <c:v>1/18/2021</c:v>
                </c:pt>
                <c:pt idx="1254">
                  <c:v>1/19/2021</c:v>
                </c:pt>
                <c:pt idx="1255">
                  <c:v>1/20/2021</c:v>
                </c:pt>
                <c:pt idx="1256">
                  <c:v>1/21/2021</c:v>
                </c:pt>
                <c:pt idx="1257">
                  <c:v>1/22/2021</c:v>
                </c:pt>
                <c:pt idx="1258">
                  <c:v>1/25/2021</c:v>
                </c:pt>
                <c:pt idx="1259">
                  <c:v>1/26/2021</c:v>
                </c:pt>
                <c:pt idx="1260">
                  <c:v>1/27/2021</c:v>
                </c:pt>
                <c:pt idx="1261">
                  <c:v>1/28/2021</c:v>
                </c:pt>
                <c:pt idx="1262">
                  <c:v>1/29/2021</c:v>
                </c:pt>
                <c:pt idx="1263">
                  <c:v>2/1/2021</c:v>
                </c:pt>
                <c:pt idx="1264">
                  <c:v>2/2/2021</c:v>
                </c:pt>
                <c:pt idx="1265">
                  <c:v>2/3/2021</c:v>
                </c:pt>
                <c:pt idx="1266">
                  <c:v>2/4/2021</c:v>
                </c:pt>
                <c:pt idx="1267">
                  <c:v>2/5/2021</c:v>
                </c:pt>
                <c:pt idx="1268">
                  <c:v>2/8/2021</c:v>
                </c:pt>
                <c:pt idx="1269">
                  <c:v>2/9/2021</c:v>
                </c:pt>
                <c:pt idx="1270">
                  <c:v>2/10/2021</c:v>
                </c:pt>
                <c:pt idx="1271">
                  <c:v>2/11/2021</c:v>
                </c:pt>
                <c:pt idx="1272">
                  <c:v>2/12/2021</c:v>
                </c:pt>
                <c:pt idx="1273">
                  <c:v>2/15/2021</c:v>
                </c:pt>
                <c:pt idx="1274">
                  <c:v>2/16/2021</c:v>
                </c:pt>
                <c:pt idx="1275">
                  <c:v>2/17/2021</c:v>
                </c:pt>
                <c:pt idx="1276">
                  <c:v>2/18/2021</c:v>
                </c:pt>
                <c:pt idx="1277">
                  <c:v>2/19/2021</c:v>
                </c:pt>
                <c:pt idx="1278">
                  <c:v>2/22/2021</c:v>
                </c:pt>
                <c:pt idx="1279">
                  <c:v>2/23/2021</c:v>
                </c:pt>
                <c:pt idx="1280">
                  <c:v>2/24/2021</c:v>
                </c:pt>
                <c:pt idx="1281">
                  <c:v>2/25/2021</c:v>
                </c:pt>
                <c:pt idx="1282">
                  <c:v>2/26/2021</c:v>
                </c:pt>
                <c:pt idx="1283">
                  <c:v>3/1/2021</c:v>
                </c:pt>
                <c:pt idx="1284">
                  <c:v>3/2/2021</c:v>
                </c:pt>
                <c:pt idx="1285">
                  <c:v>3/3/2021</c:v>
                </c:pt>
                <c:pt idx="1286">
                  <c:v>3/4/2021</c:v>
                </c:pt>
                <c:pt idx="1287">
                  <c:v>3/5/2021</c:v>
                </c:pt>
                <c:pt idx="1288">
                  <c:v>3/8/2021</c:v>
                </c:pt>
                <c:pt idx="1289">
                  <c:v>3/9/2021</c:v>
                </c:pt>
                <c:pt idx="1290">
                  <c:v>3/10/2021</c:v>
                </c:pt>
                <c:pt idx="1291">
                  <c:v>3/11/2021</c:v>
                </c:pt>
                <c:pt idx="1292">
                  <c:v>3/12/2021</c:v>
                </c:pt>
                <c:pt idx="1293">
                  <c:v>3/15/2021</c:v>
                </c:pt>
                <c:pt idx="1294">
                  <c:v>3/16/2021</c:v>
                </c:pt>
                <c:pt idx="1295">
                  <c:v>3/17/2021</c:v>
                </c:pt>
                <c:pt idx="1296">
                  <c:v>3/18/2021</c:v>
                </c:pt>
                <c:pt idx="1297">
                  <c:v>3/19/2021</c:v>
                </c:pt>
                <c:pt idx="1298">
                  <c:v>3/22/2021</c:v>
                </c:pt>
                <c:pt idx="1299">
                  <c:v>3/23/2021</c:v>
                </c:pt>
                <c:pt idx="1300">
                  <c:v>3/24/2021</c:v>
                </c:pt>
                <c:pt idx="1301">
                  <c:v>3/25/2021</c:v>
                </c:pt>
                <c:pt idx="1302">
                  <c:v>3/26/2021</c:v>
                </c:pt>
                <c:pt idx="1303">
                  <c:v>3/29/2021</c:v>
                </c:pt>
                <c:pt idx="1304">
                  <c:v>3/30/2021</c:v>
                </c:pt>
                <c:pt idx="1305">
                  <c:v>3/31/2021</c:v>
                </c:pt>
                <c:pt idx="1306">
                  <c:v>4/1/2021</c:v>
                </c:pt>
                <c:pt idx="1307">
                  <c:v>4/2/2021</c:v>
                </c:pt>
                <c:pt idx="1308">
                  <c:v>4/5/2021</c:v>
                </c:pt>
                <c:pt idx="1309">
                  <c:v>4/6/2021</c:v>
                </c:pt>
                <c:pt idx="1310">
                  <c:v>4/7/2021</c:v>
                </c:pt>
                <c:pt idx="1311">
                  <c:v>4/8/2021</c:v>
                </c:pt>
                <c:pt idx="1312">
                  <c:v>4/9/2021</c:v>
                </c:pt>
                <c:pt idx="1313">
                  <c:v>4/12/2021</c:v>
                </c:pt>
                <c:pt idx="1314">
                  <c:v>4/13/2021</c:v>
                </c:pt>
                <c:pt idx="1315">
                  <c:v>4/14/2021</c:v>
                </c:pt>
                <c:pt idx="1316">
                  <c:v>4/15/2021</c:v>
                </c:pt>
                <c:pt idx="1317">
                  <c:v>4/16/2021</c:v>
                </c:pt>
                <c:pt idx="1318">
                  <c:v>4/19/2021</c:v>
                </c:pt>
                <c:pt idx="1319">
                  <c:v>4/20/2021</c:v>
                </c:pt>
                <c:pt idx="1320">
                  <c:v>4/21/2021</c:v>
                </c:pt>
                <c:pt idx="1321">
                  <c:v>4/22/2021</c:v>
                </c:pt>
                <c:pt idx="1322">
                  <c:v>4/23/2021</c:v>
                </c:pt>
                <c:pt idx="1323">
                  <c:v>4/26/2021</c:v>
                </c:pt>
                <c:pt idx="1324">
                  <c:v>4/27/2021</c:v>
                </c:pt>
                <c:pt idx="1325">
                  <c:v>4/28/2021</c:v>
                </c:pt>
                <c:pt idx="1326">
                  <c:v>4/29/2021</c:v>
                </c:pt>
                <c:pt idx="1327">
                  <c:v>4/30/2021</c:v>
                </c:pt>
                <c:pt idx="1328">
                  <c:v>5/3/2021</c:v>
                </c:pt>
                <c:pt idx="1329">
                  <c:v>5/4/2021</c:v>
                </c:pt>
                <c:pt idx="1330">
                  <c:v>5/5/2021</c:v>
                </c:pt>
                <c:pt idx="1331">
                  <c:v>5/6/2021</c:v>
                </c:pt>
                <c:pt idx="1332">
                  <c:v>5/7/2021</c:v>
                </c:pt>
                <c:pt idx="1333">
                  <c:v>5/10/2021</c:v>
                </c:pt>
                <c:pt idx="1334">
                  <c:v>5/11/2021</c:v>
                </c:pt>
                <c:pt idx="1335">
                  <c:v>5/12/2021</c:v>
                </c:pt>
                <c:pt idx="1336">
                  <c:v>5/13/2021</c:v>
                </c:pt>
                <c:pt idx="1337">
                  <c:v>5/14/2021</c:v>
                </c:pt>
                <c:pt idx="1338">
                  <c:v>5/17/2021</c:v>
                </c:pt>
                <c:pt idx="1339">
                  <c:v>5/18/2021</c:v>
                </c:pt>
                <c:pt idx="1340">
                  <c:v>5/19/2021</c:v>
                </c:pt>
                <c:pt idx="1341">
                  <c:v>5/20/2021</c:v>
                </c:pt>
                <c:pt idx="1342">
                  <c:v>5/21/2021</c:v>
                </c:pt>
                <c:pt idx="1343">
                  <c:v>5/24/2021</c:v>
                </c:pt>
                <c:pt idx="1344">
                  <c:v>5/25/2021</c:v>
                </c:pt>
                <c:pt idx="1345">
                  <c:v>5/26/2021</c:v>
                </c:pt>
                <c:pt idx="1346">
                  <c:v>5/27/2021</c:v>
                </c:pt>
                <c:pt idx="1347">
                  <c:v>5/28/2021</c:v>
                </c:pt>
                <c:pt idx="1348">
                  <c:v>5/31/2021</c:v>
                </c:pt>
                <c:pt idx="1349">
                  <c:v>6/1/2021</c:v>
                </c:pt>
                <c:pt idx="1350">
                  <c:v>6/2/2021</c:v>
                </c:pt>
                <c:pt idx="1351">
                  <c:v>6/3/2021</c:v>
                </c:pt>
                <c:pt idx="1352">
                  <c:v>6/4/2021</c:v>
                </c:pt>
                <c:pt idx="1353">
                  <c:v>6/7/2021</c:v>
                </c:pt>
                <c:pt idx="1354">
                  <c:v>6/8/2021</c:v>
                </c:pt>
                <c:pt idx="1355">
                  <c:v>6/9/2021</c:v>
                </c:pt>
                <c:pt idx="1356">
                  <c:v>6/10/2021</c:v>
                </c:pt>
                <c:pt idx="1357">
                  <c:v>6/11/2021</c:v>
                </c:pt>
                <c:pt idx="1358">
                  <c:v>6/14/2021</c:v>
                </c:pt>
                <c:pt idx="1359">
                  <c:v>6/15/2021</c:v>
                </c:pt>
                <c:pt idx="1360">
                  <c:v>6/16/2021</c:v>
                </c:pt>
                <c:pt idx="1361">
                  <c:v>6/17/2021</c:v>
                </c:pt>
                <c:pt idx="1362">
                  <c:v>6/18/2021</c:v>
                </c:pt>
                <c:pt idx="1363">
                  <c:v>6/21/2021</c:v>
                </c:pt>
                <c:pt idx="1364">
                  <c:v>6/22/2021</c:v>
                </c:pt>
                <c:pt idx="1365">
                  <c:v>6/23/2021</c:v>
                </c:pt>
                <c:pt idx="1366">
                  <c:v>6/24/2021</c:v>
                </c:pt>
                <c:pt idx="1367">
                  <c:v>6/25/2021</c:v>
                </c:pt>
                <c:pt idx="1368">
                  <c:v>6/28/2021</c:v>
                </c:pt>
                <c:pt idx="1369">
                  <c:v>6/29/2021</c:v>
                </c:pt>
                <c:pt idx="1370">
                  <c:v>6/30/2021</c:v>
                </c:pt>
                <c:pt idx="1371">
                  <c:v>7/1/2021</c:v>
                </c:pt>
                <c:pt idx="1372">
                  <c:v>7/2/2021</c:v>
                </c:pt>
                <c:pt idx="1373">
                  <c:v>7/5/2021</c:v>
                </c:pt>
                <c:pt idx="1374">
                  <c:v>7/6/2021</c:v>
                </c:pt>
                <c:pt idx="1375">
                  <c:v>7/7/2021</c:v>
                </c:pt>
                <c:pt idx="1376">
                  <c:v>7/8/2021</c:v>
                </c:pt>
                <c:pt idx="1377">
                  <c:v>7/9/2021</c:v>
                </c:pt>
                <c:pt idx="1378">
                  <c:v>7/12/2021</c:v>
                </c:pt>
                <c:pt idx="1379">
                  <c:v>7/13/2021</c:v>
                </c:pt>
                <c:pt idx="1380">
                  <c:v>7/14/2021</c:v>
                </c:pt>
                <c:pt idx="1381">
                  <c:v>7/15/2021</c:v>
                </c:pt>
                <c:pt idx="1382">
                  <c:v>7/16/2021</c:v>
                </c:pt>
                <c:pt idx="1383">
                  <c:v>7/19/2021</c:v>
                </c:pt>
                <c:pt idx="1384">
                  <c:v>7/20/2021</c:v>
                </c:pt>
                <c:pt idx="1385">
                  <c:v>7/21/2021</c:v>
                </c:pt>
                <c:pt idx="1386">
                  <c:v>7/22/2021</c:v>
                </c:pt>
                <c:pt idx="1387">
                  <c:v>7/23/2021</c:v>
                </c:pt>
                <c:pt idx="1388">
                  <c:v>7/26/2021</c:v>
                </c:pt>
                <c:pt idx="1389">
                  <c:v>7/27/2021</c:v>
                </c:pt>
                <c:pt idx="1390">
                  <c:v>7/28/2021</c:v>
                </c:pt>
                <c:pt idx="1391">
                  <c:v>7/29/2021</c:v>
                </c:pt>
                <c:pt idx="1392">
                  <c:v>7/30/2021</c:v>
                </c:pt>
                <c:pt idx="1393">
                  <c:v>8/2/2021</c:v>
                </c:pt>
                <c:pt idx="1394">
                  <c:v>8/3/2021</c:v>
                </c:pt>
                <c:pt idx="1395">
                  <c:v>8/4/2021</c:v>
                </c:pt>
                <c:pt idx="1396">
                  <c:v>8/5/2021</c:v>
                </c:pt>
                <c:pt idx="1397">
                  <c:v>8/6/2021</c:v>
                </c:pt>
                <c:pt idx="1398">
                  <c:v>8/9/2021</c:v>
                </c:pt>
                <c:pt idx="1399">
                  <c:v>8/10/2021</c:v>
                </c:pt>
                <c:pt idx="1400">
                  <c:v>8/11/2021</c:v>
                </c:pt>
                <c:pt idx="1401">
                  <c:v>8/12/2021</c:v>
                </c:pt>
                <c:pt idx="1402">
                  <c:v>8/13/2021</c:v>
                </c:pt>
                <c:pt idx="1403">
                  <c:v>8/16/2021</c:v>
                </c:pt>
                <c:pt idx="1404">
                  <c:v>8/17/2021</c:v>
                </c:pt>
                <c:pt idx="1405">
                  <c:v>8/18/2021</c:v>
                </c:pt>
                <c:pt idx="1406">
                  <c:v>8/19/2021</c:v>
                </c:pt>
                <c:pt idx="1407">
                  <c:v>8/20/2021</c:v>
                </c:pt>
                <c:pt idx="1408">
                  <c:v>8/23/2021</c:v>
                </c:pt>
                <c:pt idx="1409">
                  <c:v>8/24/2021</c:v>
                </c:pt>
                <c:pt idx="1410">
                  <c:v>8/25/2021</c:v>
                </c:pt>
                <c:pt idx="1411">
                  <c:v>8/26/2021</c:v>
                </c:pt>
                <c:pt idx="1412">
                  <c:v>8/27/2021</c:v>
                </c:pt>
                <c:pt idx="1413">
                  <c:v>8/30/2021</c:v>
                </c:pt>
                <c:pt idx="1414">
                  <c:v>8/31/2021</c:v>
                </c:pt>
                <c:pt idx="1415">
                  <c:v>9/1/2021</c:v>
                </c:pt>
                <c:pt idx="1416">
                  <c:v>9/2/2021</c:v>
                </c:pt>
                <c:pt idx="1417">
                  <c:v>9/3/2021</c:v>
                </c:pt>
                <c:pt idx="1418">
                  <c:v>9/6/2021</c:v>
                </c:pt>
                <c:pt idx="1419">
                  <c:v>9/7/2021</c:v>
                </c:pt>
                <c:pt idx="1420">
                  <c:v>9/8/2021</c:v>
                </c:pt>
                <c:pt idx="1421">
                  <c:v>9/9/2021</c:v>
                </c:pt>
                <c:pt idx="1422">
                  <c:v>9/10/2021</c:v>
                </c:pt>
                <c:pt idx="1423">
                  <c:v>9/13/2021</c:v>
                </c:pt>
                <c:pt idx="1424">
                  <c:v>9/14/2021</c:v>
                </c:pt>
                <c:pt idx="1425">
                  <c:v>9/15/2021</c:v>
                </c:pt>
                <c:pt idx="1426">
                  <c:v>9/16/2021</c:v>
                </c:pt>
                <c:pt idx="1427">
                  <c:v>9/17/2021</c:v>
                </c:pt>
                <c:pt idx="1428">
                  <c:v>9/20/2021</c:v>
                </c:pt>
                <c:pt idx="1429">
                  <c:v>9/21/2021</c:v>
                </c:pt>
                <c:pt idx="1430">
                  <c:v>9/22/2021</c:v>
                </c:pt>
                <c:pt idx="1431">
                  <c:v>9/23/2021</c:v>
                </c:pt>
                <c:pt idx="1432">
                  <c:v>9/24/2021</c:v>
                </c:pt>
                <c:pt idx="1433">
                  <c:v>9/27/2021</c:v>
                </c:pt>
                <c:pt idx="1434">
                  <c:v>9/28/2021</c:v>
                </c:pt>
                <c:pt idx="1435">
                  <c:v>9/29/2021</c:v>
                </c:pt>
                <c:pt idx="1436">
                  <c:v>9/30/2021</c:v>
                </c:pt>
                <c:pt idx="1437">
                  <c:v>10/1/2021</c:v>
                </c:pt>
                <c:pt idx="1438">
                  <c:v>10/4/2021</c:v>
                </c:pt>
                <c:pt idx="1439">
                  <c:v>10/5/2021</c:v>
                </c:pt>
                <c:pt idx="1440">
                  <c:v>10/6/2021</c:v>
                </c:pt>
                <c:pt idx="1441">
                  <c:v>10/7/2021</c:v>
                </c:pt>
                <c:pt idx="1442">
                  <c:v>10/8/2021</c:v>
                </c:pt>
                <c:pt idx="1443">
                  <c:v>10/11/2021</c:v>
                </c:pt>
                <c:pt idx="1444">
                  <c:v>10/12/2021</c:v>
                </c:pt>
                <c:pt idx="1445">
                  <c:v>10/13/2021</c:v>
                </c:pt>
                <c:pt idx="1446">
                  <c:v>10/14/2021</c:v>
                </c:pt>
                <c:pt idx="1447">
                  <c:v>10/15/2021</c:v>
                </c:pt>
                <c:pt idx="1448">
                  <c:v>10/18/2021</c:v>
                </c:pt>
                <c:pt idx="1449">
                  <c:v>10/19/2021</c:v>
                </c:pt>
                <c:pt idx="1450">
                  <c:v>10/20/2021</c:v>
                </c:pt>
                <c:pt idx="1451">
                  <c:v>10/21/2021</c:v>
                </c:pt>
                <c:pt idx="1452">
                  <c:v>10/22/2021</c:v>
                </c:pt>
                <c:pt idx="1453">
                  <c:v>10/25/2021</c:v>
                </c:pt>
                <c:pt idx="1454">
                  <c:v>10/26/2021</c:v>
                </c:pt>
                <c:pt idx="1455">
                  <c:v>10/27/2021</c:v>
                </c:pt>
                <c:pt idx="1456">
                  <c:v>10/28/2021</c:v>
                </c:pt>
                <c:pt idx="1457">
                  <c:v>10/29/2021</c:v>
                </c:pt>
                <c:pt idx="1458">
                  <c:v>11/1/2021</c:v>
                </c:pt>
                <c:pt idx="1459">
                  <c:v>11/2/2021</c:v>
                </c:pt>
                <c:pt idx="1460">
                  <c:v>11/3/2021</c:v>
                </c:pt>
                <c:pt idx="1461">
                  <c:v>11/4/2021</c:v>
                </c:pt>
                <c:pt idx="1462">
                  <c:v>11/5/2021</c:v>
                </c:pt>
                <c:pt idx="1463">
                  <c:v>11/8/2021</c:v>
                </c:pt>
                <c:pt idx="1464">
                  <c:v>11/9/2021</c:v>
                </c:pt>
                <c:pt idx="1465">
                  <c:v>11/10/2021</c:v>
                </c:pt>
                <c:pt idx="1466">
                  <c:v>11/11/2021</c:v>
                </c:pt>
                <c:pt idx="1467">
                  <c:v>11/12/2021</c:v>
                </c:pt>
                <c:pt idx="1468">
                  <c:v>11/15/2021</c:v>
                </c:pt>
                <c:pt idx="1469">
                  <c:v>11/16/2021</c:v>
                </c:pt>
                <c:pt idx="1470">
                  <c:v>11/17/2021</c:v>
                </c:pt>
                <c:pt idx="1471">
                  <c:v>11/18/2021</c:v>
                </c:pt>
                <c:pt idx="1472">
                  <c:v>11/19/2021</c:v>
                </c:pt>
                <c:pt idx="1473">
                  <c:v>11/22/2021</c:v>
                </c:pt>
                <c:pt idx="1474">
                  <c:v>11/23/2021</c:v>
                </c:pt>
                <c:pt idx="1475">
                  <c:v>11/24/2021</c:v>
                </c:pt>
                <c:pt idx="1476">
                  <c:v>11/25/2021</c:v>
                </c:pt>
                <c:pt idx="1477">
                  <c:v>11/26/2021</c:v>
                </c:pt>
                <c:pt idx="1478">
                  <c:v>11/29/2021</c:v>
                </c:pt>
                <c:pt idx="1479">
                  <c:v>11/30/2021</c:v>
                </c:pt>
                <c:pt idx="1480">
                  <c:v>12/1/2021</c:v>
                </c:pt>
                <c:pt idx="1481">
                  <c:v>12/2/2021</c:v>
                </c:pt>
                <c:pt idx="1482">
                  <c:v>12/3/2021</c:v>
                </c:pt>
                <c:pt idx="1483">
                  <c:v>12/6/2021</c:v>
                </c:pt>
                <c:pt idx="1484">
                  <c:v>12/7/2021</c:v>
                </c:pt>
                <c:pt idx="1485">
                  <c:v>12/8/2021</c:v>
                </c:pt>
                <c:pt idx="1486">
                  <c:v>12/9/2021</c:v>
                </c:pt>
                <c:pt idx="1487">
                  <c:v>12/10/2021</c:v>
                </c:pt>
                <c:pt idx="1488">
                  <c:v>12/13/2021</c:v>
                </c:pt>
                <c:pt idx="1489">
                  <c:v>12/14/2021</c:v>
                </c:pt>
                <c:pt idx="1490">
                  <c:v>12/15/2021</c:v>
                </c:pt>
                <c:pt idx="1491">
                  <c:v>12/16/2021</c:v>
                </c:pt>
                <c:pt idx="1492">
                  <c:v>12/17/2021</c:v>
                </c:pt>
                <c:pt idx="1493">
                  <c:v>12/20/2021</c:v>
                </c:pt>
                <c:pt idx="1494">
                  <c:v>12/21/2021</c:v>
                </c:pt>
                <c:pt idx="1495">
                  <c:v>12/22/2021</c:v>
                </c:pt>
                <c:pt idx="1496">
                  <c:v>12/23/2021</c:v>
                </c:pt>
                <c:pt idx="1497">
                  <c:v>12/24/2021</c:v>
                </c:pt>
                <c:pt idx="1498">
                  <c:v>12/27/2021</c:v>
                </c:pt>
                <c:pt idx="1499">
                  <c:v>12/28/2021</c:v>
                </c:pt>
                <c:pt idx="1500">
                  <c:v>12/29/2021</c:v>
                </c:pt>
                <c:pt idx="1501">
                  <c:v>12/30/2021</c:v>
                </c:pt>
                <c:pt idx="1502">
                  <c:v>12/31/2021</c:v>
                </c:pt>
                <c:pt idx="1503">
                  <c:v>1/3/2022</c:v>
                </c:pt>
                <c:pt idx="1504">
                  <c:v>1/4/2022</c:v>
                </c:pt>
                <c:pt idx="1505">
                  <c:v>1/5/2022</c:v>
                </c:pt>
                <c:pt idx="1506">
                  <c:v>1/6/2022</c:v>
                </c:pt>
                <c:pt idx="1507">
                  <c:v>1/7/2022</c:v>
                </c:pt>
                <c:pt idx="1508">
                  <c:v>1/10/2022</c:v>
                </c:pt>
                <c:pt idx="1509">
                  <c:v>1/11/2022</c:v>
                </c:pt>
                <c:pt idx="1510">
                  <c:v>1/12/2022</c:v>
                </c:pt>
                <c:pt idx="1511">
                  <c:v>1/13/2022</c:v>
                </c:pt>
                <c:pt idx="1512">
                  <c:v>1/14/2022</c:v>
                </c:pt>
                <c:pt idx="1513">
                  <c:v>1/17/2022</c:v>
                </c:pt>
                <c:pt idx="1514">
                  <c:v>1/18/2022</c:v>
                </c:pt>
                <c:pt idx="1515">
                  <c:v>1/19/2022</c:v>
                </c:pt>
                <c:pt idx="1516">
                  <c:v>1/20/2022</c:v>
                </c:pt>
                <c:pt idx="1517">
                  <c:v>1/21/2022</c:v>
                </c:pt>
                <c:pt idx="1518">
                  <c:v>1/24/2022</c:v>
                </c:pt>
                <c:pt idx="1519">
                  <c:v>1/25/2022</c:v>
                </c:pt>
                <c:pt idx="1520">
                  <c:v>1/26/2022</c:v>
                </c:pt>
                <c:pt idx="1521">
                  <c:v>1/27/2022</c:v>
                </c:pt>
                <c:pt idx="1522">
                  <c:v>1/28/2022</c:v>
                </c:pt>
                <c:pt idx="1523">
                  <c:v>1/31/2022</c:v>
                </c:pt>
                <c:pt idx="1524">
                  <c:v>2/1/2022</c:v>
                </c:pt>
                <c:pt idx="1525">
                  <c:v>2/2/2022</c:v>
                </c:pt>
                <c:pt idx="1526">
                  <c:v>2/3/2022</c:v>
                </c:pt>
                <c:pt idx="1527">
                  <c:v>2/4/2022</c:v>
                </c:pt>
                <c:pt idx="1528">
                  <c:v>2/7/2022</c:v>
                </c:pt>
                <c:pt idx="1529">
                  <c:v>2/8/2022</c:v>
                </c:pt>
                <c:pt idx="1530">
                  <c:v>2/9/2022</c:v>
                </c:pt>
                <c:pt idx="1531">
                  <c:v>2/10/2022</c:v>
                </c:pt>
                <c:pt idx="1532">
                  <c:v>2/11/2022</c:v>
                </c:pt>
                <c:pt idx="1533">
                  <c:v>2/14/2022</c:v>
                </c:pt>
                <c:pt idx="1534">
                  <c:v>2/15/2022</c:v>
                </c:pt>
                <c:pt idx="1535">
                  <c:v>2/16/2022</c:v>
                </c:pt>
                <c:pt idx="1536">
                  <c:v>2/17/2022</c:v>
                </c:pt>
                <c:pt idx="1537">
                  <c:v>2/18/2022</c:v>
                </c:pt>
                <c:pt idx="1538">
                  <c:v>2/21/2022</c:v>
                </c:pt>
                <c:pt idx="1539">
                  <c:v>2/22/2022</c:v>
                </c:pt>
                <c:pt idx="1540">
                  <c:v>2/23/2022</c:v>
                </c:pt>
                <c:pt idx="1541">
                  <c:v>2/24/2022</c:v>
                </c:pt>
                <c:pt idx="1542">
                  <c:v>2/25/2022</c:v>
                </c:pt>
                <c:pt idx="1543">
                  <c:v>2/28/2022</c:v>
                </c:pt>
                <c:pt idx="1544">
                  <c:v>3/1/2022</c:v>
                </c:pt>
                <c:pt idx="1545">
                  <c:v>3/2/2022</c:v>
                </c:pt>
                <c:pt idx="1546">
                  <c:v>3/3/2022</c:v>
                </c:pt>
                <c:pt idx="1547">
                  <c:v>3/4/2022</c:v>
                </c:pt>
                <c:pt idx="1548">
                  <c:v>3/7/2022</c:v>
                </c:pt>
                <c:pt idx="1549">
                  <c:v>3/8/2022</c:v>
                </c:pt>
                <c:pt idx="1550">
                  <c:v>3/9/2022</c:v>
                </c:pt>
                <c:pt idx="1551">
                  <c:v>3/10/2022</c:v>
                </c:pt>
                <c:pt idx="1552">
                  <c:v>3/11/2022</c:v>
                </c:pt>
                <c:pt idx="1553">
                  <c:v>3/14/2022</c:v>
                </c:pt>
                <c:pt idx="1554">
                  <c:v>3/15/2022</c:v>
                </c:pt>
                <c:pt idx="1555">
                  <c:v>3/16/2022</c:v>
                </c:pt>
                <c:pt idx="1556">
                  <c:v>3/17/2022</c:v>
                </c:pt>
                <c:pt idx="1557">
                  <c:v>3/18/2022</c:v>
                </c:pt>
                <c:pt idx="1558">
                  <c:v>3/21/2022</c:v>
                </c:pt>
                <c:pt idx="1559">
                  <c:v>3/22/2022</c:v>
                </c:pt>
                <c:pt idx="1560">
                  <c:v>3/23/2022</c:v>
                </c:pt>
                <c:pt idx="1561">
                  <c:v>3/24/2022</c:v>
                </c:pt>
                <c:pt idx="1562">
                  <c:v>3/25/2022</c:v>
                </c:pt>
                <c:pt idx="1563">
                  <c:v>3/28/2022</c:v>
                </c:pt>
                <c:pt idx="1564">
                  <c:v>3/29/2022</c:v>
                </c:pt>
                <c:pt idx="1565">
                  <c:v>3/30/2022</c:v>
                </c:pt>
                <c:pt idx="1566">
                  <c:v>3/31/2022</c:v>
                </c:pt>
                <c:pt idx="1567">
                  <c:v>4/1/2022</c:v>
                </c:pt>
                <c:pt idx="1568">
                  <c:v>4/4/2022</c:v>
                </c:pt>
                <c:pt idx="1569">
                  <c:v>4/5/2022</c:v>
                </c:pt>
                <c:pt idx="1570">
                  <c:v>4/6/2022</c:v>
                </c:pt>
                <c:pt idx="1571">
                  <c:v>4/7/2022</c:v>
                </c:pt>
                <c:pt idx="1572">
                  <c:v>4/8/2022</c:v>
                </c:pt>
                <c:pt idx="1573">
                  <c:v>4/11/2022</c:v>
                </c:pt>
                <c:pt idx="1574">
                  <c:v>4/12/2022</c:v>
                </c:pt>
                <c:pt idx="1575">
                  <c:v>4/13/2022</c:v>
                </c:pt>
                <c:pt idx="1576">
                  <c:v>4/14/2022</c:v>
                </c:pt>
                <c:pt idx="1577">
                  <c:v>4/15/2022</c:v>
                </c:pt>
                <c:pt idx="1578">
                  <c:v>4/18/2022</c:v>
                </c:pt>
                <c:pt idx="1579">
                  <c:v>4/19/2022</c:v>
                </c:pt>
                <c:pt idx="1580">
                  <c:v>4/20/2022</c:v>
                </c:pt>
                <c:pt idx="1581">
                  <c:v>4/21/2022</c:v>
                </c:pt>
                <c:pt idx="1582">
                  <c:v>4/22/2022</c:v>
                </c:pt>
                <c:pt idx="1583">
                  <c:v>4/25/2022</c:v>
                </c:pt>
                <c:pt idx="1584">
                  <c:v>4/26/2022</c:v>
                </c:pt>
                <c:pt idx="1585">
                  <c:v>4/27/2022</c:v>
                </c:pt>
                <c:pt idx="1586">
                  <c:v>4/28/2022</c:v>
                </c:pt>
                <c:pt idx="1587">
                  <c:v>4/29/2022</c:v>
                </c:pt>
                <c:pt idx="1588">
                  <c:v>5/2/2022</c:v>
                </c:pt>
                <c:pt idx="1589">
                  <c:v>5/3/2022</c:v>
                </c:pt>
                <c:pt idx="1590">
                  <c:v>5/4/2022</c:v>
                </c:pt>
                <c:pt idx="1591">
                  <c:v>5/5/2022</c:v>
                </c:pt>
                <c:pt idx="1592">
                  <c:v>5/6/2022</c:v>
                </c:pt>
                <c:pt idx="1593">
                  <c:v>5/9/2022</c:v>
                </c:pt>
                <c:pt idx="1594">
                  <c:v>5/10/2022</c:v>
                </c:pt>
                <c:pt idx="1595">
                  <c:v>5/11/2022</c:v>
                </c:pt>
                <c:pt idx="1596">
                  <c:v>5/12/2022</c:v>
                </c:pt>
                <c:pt idx="1597">
                  <c:v>5/13/2022</c:v>
                </c:pt>
                <c:pt idx="1598">
                  <c:v>5/16/2022</c:v>
                </c:pt>
                <c:pt idx="1599">
                  <c:v>5/17/2022</c:v>
                </c:pt>
                <c:pt idx="1600">
                  <c:v>5/18/2022</c:v>
                </c:pt>
                <c:pt idx="1601">
                  <c:v>5/19/2022</c:v>
                </c:pt>
                <c:pt idx="1602">
                  <c:v>5/20/2022</c:v>
                </c:pt>
                <c:pt idx="1603">
                  <c:v>5/23/2022</c:v>
                </c:pt>
                <c:pt idx="1604">
                  <c:v>5/24/2022</c:v>
                </c:pt>
                <c:pt idx="1605">
                  <c:v>5/25/2022</c:v>
                </c:pt>
                <c:pt idx="1606">
                  <c:v>5/26/2022</c:v>
                </c:pt>
                <c:pt idx="1607">
                  <c:v>5/27/2022</c:v>
                </c:pt>
                <c:pt idx="1608">
                  <c:v>5/30/2022</c:v>
                </c:pt>
                <c:pt idx="1609">
                  <c:v>5/31/2022</c:v>
                </c:pt>
                <c:pt idx="1610">
                  <c:v>6/1/2022</c:v>
                </c:pt>
                <c:pt idx="1611">
                  <c:v>6/2/2022</c:v>
                </c:pt>
                <c:pt idx="1612">
                  <c:v>6/3/2022</c:v>
                </c:pt>
                <c:pt idx="1613">
                  <c:v>6/6/2022</c:v>
                </c:pt>
                <c:pt idx="1614">
                  <c:v>6/7/2022</c:v>
                </c:pt>
                <c:pt idx="1615">
                  <c:v>6/8/2022</c:v>
                </c:pt>
                <c:pt idx="1616">
                  <c:v>6/9/2022</c:v>
                </c:pt>
                <c:pt idx="1617">
                  <c:v>6/10/2022</c:v>
                </c:pt>
                <c:pt idx="1618">
                  <c:v>6/13/2022</c:v>
                </c:pt>
                <c:pt idx="1619">
                  <c:v>6/14/2022</c:v>
                </c:pt>
                <c:pt idx="1620">
                  <c:v>6/15/2022</c:v>
                </c:pt>
                <c:pt idx="1621">
                  <c:v>6/16/2022</c:v>
                </c:pt>
                <c:pt idx="1622">
                  <c:v>6/17/2022</c:v>
                </c:pt>
                <c:pt idx="1623">
                  <c:v>6/20/2022</c:v>
                </c:pt>
                <c:pt idx="1624">
                  <c:v>6/21/2022</c:v>
                </c:pt>
                <c:pt idx="1625">
                  <c:v>6/22/2022</c:v>
                </c:pt>
                <c:pt idx="1626">
                  <c:v>6/23/2022</c:v>
                </c:pt>
                <c:pt idx="1627">
                  <c:v>6/24/2022</c:v>
                </c:pt>
                <c:pt idx="1628">
                  <c:v>6/27/2022</c:v>
                </c:pt>
                <c:pt idx="1629">
                  <c:v>6/28/2022</c:v>
                </c:pt>
                <c:pt idx="1630">
                  <c:v>6/29/2022</c:v>
                </c:pt>
                <c:pt idx="1631">
                  <c:v>6/30/2022</c:v>
                </c:pt>
                <c:pt idx="1632">
                  <c:v>7/1/2022</c:v>
                </c:pt>
                <c:pt idx="1633">
                  <c:v>7/4/2022</c:v>
                </c:pt>
                <c:pt idx="1634">
                  <c:v>7/5/2022</c:v>
                </c:pt>
                <c:pt idx="1635">
                  <c:v>7/6/2022</c:v>
                </c:pt>
                <c:pt idx="1636">
                  <c:v>7/7/2022</c:v>
                </c:pt>
                <c:pt idx="1637">
                  <c:v>7/8/2022</c:v>
                </c:pt>
                <c:pt idx="1638">
                  <c:v>7/11/2022</c:v>
                </c:pt>
                <c:pt idx="1639">
                  <c:v>7/12/2022</c:v>
                </c:pt>
                <c:pt idx="1640">
                  <c:v>7/13/2022</c:v>
                </c:pt>
                <c:pt idx="1641">
                  <c:v>7/14/2022</c:v>
                </c:pt>
                <c:pt idx="1642">
                  <c:v>7/15/2022</c:v>
                </c:pt>
                <c:pt idx="1643">
                  <c:v>7/18/2022</c:v>
                </c:pt>
                <c:pt idx="1644">
                  <c:v>7/19/2022</c:v>
                </c:pt>
                <c:pt idx="1645">
                  <c:v>7/20/2022</c:v>
                </c:pt>
                <c:pt idx="1646">
                  <c:v>7/21/2022</c:v>
                </c:pt>
                <c:pt idx="1647">
                  <c:v>7/22/2022</c:v>
                </c:pt>
                <c:pt idx="1648">
                  <c:v>7/25/2022</c:v>
                </c:pt>
                <c:pt idx="1649">
                  <c:v>7/26/2022</c:v>
                </c:pt>
                <c:pt idx="1650">
                  <c:v>7/27/2022</c:v>
                </c:pt>
                <c:pt idx="1651">
                  <c:v>7/28/2022</c:v>
                </c:pt>
                <c:pt idx="1652">
                  <c:v>7/29/2022</c:v>
                </c:pt>
                <c:pt idx="1653">
                  <c:v>8/1/2022</c:v>
                </c:pt>
                <c:pt idx="1654">
                  <c:v>8/2/2022</c:v>
                </c:pt>
                <c:pt idx="1655">
                  <c:v>8/3/2022</c:v>
                </c:pt>
                <c:pt idx="1656">
                  <c:v>8/4/2022</c:v>
                </c:pt>
                <c:pt idx="1657">
                  <c:v>8/5/2022</c:v>
                </c:pt>
                <c:pt idx="1658">
                  <c:v>8/8/2022</c:v>
                </c:pt>
                <c:pt idx="1659">
                  <c:v>8/9/2022</c:v>
                </c:pt>
                <c:pt idx="1660">
                  <c:v>8/10/2022</c:v>
                </c:pt>
                <c:pt idx="1661">
                  <c:v>8/11/2022</c:v>
                </c:pt>
                <c:pt idx="1662">
                  <c:v>8/12/2022</c:v>
                </c:pt>
                <c:pt idx="1663">
                  <c:v>8/15/2022</c:v>
                </c:pt>
                <c:pt idx="1664">
                  <c:v>8/16/2022</c:v>
                </c:pt>
                <c:pt idx="1665">
                  <c:v>8/17/2022</c:v>
                </c:pt>
                <c:pt idx="1666">
                  <c:v>8/18/2022</c:v>
                </c:pt>
                <c:pt idx="1667">
                  <c:v>8/19/2022</c:v>
                </c:pt>
                <c:pt idx="1668">
                  <c:v>8/22/2022</c:v>
                </c:pt>
                <c:pt idx="1669">
                  <c:v>8/23/2022</c:v>
                </c:pt>
                <c:pt idx="1670">
                  <c:v>8/24/2022</c:v>
                </c:pt>
                <c:pt idx="1671">
                  <c:v>8/25/2022</c:v>
                </c:pt>
                <c:pt idx="1672">
                  <c:v>8/26/2022</c:v>
                </c:pt>
                <c:pt idx="1673">
                  <c:v>8/29/2022</c:v>
                </c:pt>
                <c:pt idx="1674">
                  <c:v>8/30/2022</c:v>
                </c:pt>
                <c:pt idx="1675">
                  <c:v>8/31/2022</c:v>
                </c:pt>
                <c:pt idx="1676">
                  <c:v>9/1/2022</c:v>
                </c:pt>
                <c:pt idx="1677">
                  <c:v>9/2/2022</c:v>
                </c:pt>
                <c:pt idx="1678">
                  <c:v>9/5/2022</c:v>
                </c:pt>
                <c:pt idx="1679">
                  <c:v>9/6/2022</c:v>
                </c:pt>
                <c:pt idx="1680">
                  <c:v>9/7/2022</c:v>
                </c:pt>
                <c:pt idx="1681">
                  <c:v>9/8/2022</c:v>
                </c:pt>
                <c:pt idx="1682">
                  <c:v>9/9/2022</c:v>
                </c:pt>
                <c:pt idx="1683">
                  <c:v>9/12/2022</c:v>
                </c:pt>
                <c:pt idx="1684">
                  <c:v>9/13/2022</c:v>
                </c:pt>
                <c:pt idx="1685">
                  <c:v>9/14/2022</c:v>
                </c:pt>
                <c:pt idx="1686">
                  <c:v>9/15/2022</c:v>
                </c:pt>
                <c:pt idx="1687">
                  <c:v>9/16/2022</c:v>
                </c:pt>
                <c:pt idx="1688">
                  <c:v>9/19/2022</c:v>
                </c:pt>
                <c:pt idx="1689">
                  <c:v>9/20/2022</c:v>
                </c:pt>
                <c:pt idx="1690">
                  <c:v>9/21/2022</c:v>
                </c:pt>
                <c:pt idx="1691">
                  <c:v>9/22/2022</c:v>
                </c:pt>
                <c:pt idx="1692">
                  <c:v>9/23/2022</c:v>
                </c:pt>
                <c:pt idx="1693">
                  <c:v>9/26/2022</c:v>
                </c:pt>
                <c:pt idx="1694">
                  <c:v>9/27/2022</c:v>
                </c:pt>
                <c:pt idx="1695">
                  <c:v>9/28/2022</c:v>
                </c:pt>
                <c:pt idx="1696">
                  <c:v>9/29/2022</c:v>
                </c:pt>
                <c:pt idx="1697">
                  <c:v>9/30/2022</c:v>
                </c:pt>
                <c:pt idx="1698">
                  <c:v>10/1/2022</c:v>
                </c:pt>
                <c:pt idx="1699">
                  <c:v>10/2/2022</c:v>
                </c:pt>
                <c:pt idx="1700">
                  <c:v>10/3/2022</c:v>
                </c:pt>
                <c:pt idx="1701">
                  <c:v>10/4/2022</c:v>
                </c:pt>
                <c:pt idx="1702">
                  <c:v>10/5/2022</c:v>
                </c:pt>
                <c:pt idx="1703">
                  <c:v>10/6/2022</c:v>
                </c:pt>
                <c:pt idx="1704">
                  <c:v>10/7/2022</c:v>
                </c:pt>
                <c:pt idx="1705">
                  <c:v>10/10/2022</c:v>
                </c:pt>
                <c:pt idx="1706">
                  <c:v>10/11/2022</c:v>
                </c:pt>
                <c:pt idx="1707">
                  <c:v>10/12/2022</c:v>
                </c:pt>
                <c:pt idx="1708">
                  <c:v>10/13/2022</c:v>
                </c:pt>
                <c:pt idx="1709">
                  <c:v>10/14/2022</c:v>
                </c:pt>
                <c:pt idx="1710">
                  <c:v>10/15/2022</c:v>
                </c:pt>
                <c:pt idx="1711">
                  <c:v>10/16/2022</c:v>
                </c:pt>
                <c:pt idx="1712">
                  <c:v>10/17/2022</c:v>
                </c:pt>
                <c:pt idx="1713">
                  <c:v>10/18/2022</c:v>
                </c:pt>
                <c:pt idx="1714">
                  <c:v>10/19/2022</c:v>
                </c:pt>
                <c:pt idx="1715">
                  <c:v>10/20/2022</c:v>
                </c:pt>
                <c:pt idx="1716">
                  <c:v>10/21/2022</c:v>
                </c:pt>
                <c:pt idx="1717">
                  <c:v>10/22/2022</c:v>
                </c:pt>
                <c:pt idx="1718">
                  <c:v>10/23/2022</c:v>
                </c:pt>
                <c:pt idx="1719">
                  <c:v>10/24/2022</c:v>
                </c:pt>
                <c:pt idx="1720">
                  <c:v>10/25/2022</c:v>
                </c:pt>
                <c:pt idx="1721">
                  <c:v>10/26/2022</c:v>
                </c:pt>
                <c:pt idx="1722">
                  <c:v>10/27/2022</c:v>
                </c:pt>
                <c:pt idx="1723">
                  <c:v>10/28/2022</c:v>
                </c:pt>
                <c:pt idx="1724">
                  <c:v>10/29/2022</c:v>
                </c:pt>
                <c:pt idx="1725">
                  <c:v>10/30/2022</c:v>
                </c:pt>
                <c:pt idx="1726">
                  <c:v>10/31/2022</c:v>
                </c:pt>
                <c:pt idx="1727">
                  <c:v>11/1/2022</c:v>
                </c:pt>
                <c:pt idx="1728">
                  <c:v>11/2/2022</c:v>
                </c:pt>
                <c:pt idx="1729">
                  <c:v>11/3/2022</c:v>
                </c:pt>
                <c:pt idx="1730">
                  <c:v>11/4/2022</c:v>
                </c:pt>
                <c:pt idx="1731">
                  <c:v>11/5/2022</c:v>
                </c:pt>
                <c:pt idx="1732">
                  <c:v>11/6/2022</c:v>
                </c:pt>
                <c:pt idx="1733">
                  <c:v>11/7/2022</c:v>
                </c:pt>
                <c:pt idx="1734">
                  <c:v>11/8/2022</c:v>
                </c:pt>
                <c:pt idx="1735">
                  <c:v>11/9/2022</c:v>
                </c:pt>
                <c:pt idx="1736">
                  <c:v>11/10/2022</c:v>
                </c:pt>
                <c:pt idx="1737">
                  <c:v>11/11/2022</c:v>
                </c:pt>
                <c:pt idx="1738">
                  <c:v>11/14/2022</c:v>
                </c:pt>
                <c:pt idx="1739">
                  <c:v>11/15/2022</c:v>
                </c:pt>
                <c:pt idx="1740">
                  <c:v>11/16/2022</c:v>
                </c:pt>
                <c:pt idx="1741">
                  <c:v>11/17/2022</c:v>
                </c:pt>
                <c:pt idx="1742">
                  <c:v>11/18/2022</c:v>
                </c:pt>
                <c:pt idx="1743">
                  <c:v>11/21/2022</c:v>
                </c:pt>
                <c:pt idx="1744">
                  <c:v>11/22/2022</c:v>
                </c:pt>
                <c:pt idx="1745">
                  <c:v>11/23/2022</c:v>
                </c:pt>
                <c:pt idx="1746">
                  <c:v>11/24/2022</c:v>
                </c:pt>
                <c:pt idx="1747">
                  <c:v>11/25/2022</c:v>
                </c:pt>
                <c:pt idx="1748">
                  <c:v>11/28/2022</c:v>
                </c:pt>
                <c:pt idx="1749">
                  <c:v>11/29/2022</c:v>
                </c:pt>
                <c:pt idx="1750">
                  <c:v>11/30/2022</c:v>
                </c:pt>
                <c:pt idx="1751">
                  <c:v>12/1/2022</c:v>
                </c:pt>
                <c:pt idx="1752">
                  <c:v>12/2/2022</c:v>
                </c:pt>
                <c:pt idx="1753">
                  <c:v>12/5/2022</c:v>
                </c:pt>
                <c:pt idx="1754">
                  <c:v>12/6/2022</c:v>
                </c:pt>
                <c:pt idx="1755">
                  <c:v>12/7/2022</c:v>
                </c:pt>
                <c:pt idx="1756">
                  <c:v>12/8/2022</c:v>
                </c:pt>
                <c:pt idx="1757">
                  <c:v>12/9/2022</c:v>
                </c:pt>
                <c:pt idx="1758">
                  <c:v>12/12/2022</c:v>
                </c:pt>
                <c:pt idx="1759">
                  <c:v>12/13/2022</c:v>
                </c:pt>
                <c:pt idx="1760">
                  <c:v>12/14/2022</c:v>
                </c:pt>
                <c:pt idx="1761">
                  <c:v>12/15/2022</c:v>
                </c:pt>
                <c:pt idx="1762">
                  <c:v>12/16/2022</c:v>
                </c:pt>
                <c:pt idx="1763">
                  <c:v>12/19/2022</c:v>
                </c:pt>
                <c:pt idx="1764">
                  <c:v>12/20/2022</c:v>
                </c:pt>
                <c:pt idx="1765">
                  <c:v>12/21/2022</c:v>
                </c:pt>
                <c:pt idx="1766">
                  <c:v>12/22/2022</c:v>
                </c:pt>
                <c:pt idx="1767">
                  <c:v>12/23/2022</c:v>
                </c:pt>
                <c:pt idx="1768">
                  <c:v>12/26/2022</c:v>
                </c:pt>
                <c:pt idx="1769">
                  <c:v>12/27/2022</c:v>
                </c:pt>
                <c:pt idx="1770">
                  <c:v>12/28/2022</c:v>
                </c:pt>
                <c:pt idx="1771">
                  <c:v>12/29/2022</c:v>
                </c:pt>
                <c:pt idx="1772">
                  <c:v>12/30/2022</c:v>
                </c:pt>
                <c:pt idx="1773">
                  <c:v>1/2/2023</c:v>
                </c:pt>
                <c:pt idx="1774">
                  <c:v>1/3/2023</c:v>
                </c:pt>
                <c:pt idx="1775">
                  <c:v>1/4/2023</c:v>
                </c:pt>
                <c:pt idx="1776">
                  <c:v>1/5/2023</c:v>
                </c:pt>
                <c:pt idx="1777">
                  <c:v>1/6/2023</c:v>
                </c:pt>
                <c:pt idx="1778">
                  <c:v>1/9/2023</c:v>
                </c:pt>
                <c:pt idx="1779">
                  <c:v>1/10/2023</c:v>
                </c:pt>
                <c:pt idx="1780">
                  <c:v>1/11/2023</c:v>
                </c:pt>
                <c:pt idx="1781">
                  <c:v>1/12/2023</c:v>
                </c:pt>
                <c:pt idx="1782">
                  <c:v>1/13/2023</c:v>
                </c:pt>
                <c:pt idx="1783">
                  <c:v>1/16/2023</c:v>
                </c:pt>
                <c:pt idx="1784">
                  <c:v>1/17/2023</c:v>
                </c:pt>
                <c:pt idx="1785">
                  <c:v>1/18/2023</c:v>
                </c:pt>
                <c:pt idx="1786">
                  <c:v>1/19/2023</c:v>
                </c:pt>
                <c:pt idx="1787">
                  <c:v>1/20/2023</c:v>
                </c:pt>
                <c:pt idx="1788">
                  <c:v>1/23/2023</c:v>
                </c:pt>
                <c:pt idx="1789">
                  <c:v>1/24/2023</c:v>
                </c:pt>
                <c:pt idx="1790">
                  <c:v>1/25/2023</c:v>
                </c:pt>
                <c:pt idx="1791">
                  <c:v>1/26/2023</c:v>
                </c:pt>
                <c:pt idx="1792">
                  <c:v>1/27/2023</c:v>
                </c:pt>
                <c:pt idx="1793">
                  <c:v>1/30/2023</c:v>
                </c:pt>
                <c:pt idx="1794">
                  <c:v>1/31/2023</c:v>
                </c:pt>
                <c:pt idx="1795">
                  <c:v>2/1/2023</c:v>
                </c:pt>
                <c:pt idx="1796">
                  <c:v>2/2/2023</c:v>
                </c:pt>
                <c:pt idx="1797">
                  <c:v>2/3/2023</c:v>
                </c:pt>
                <c:pt idx="1798">
                  <c:v>2/6/2023</c:v>
                </c:pt>
                <c:pt idx="1799">
                  <c:v>2/7/2023</c:v>
                </c:pt>
                <c:pt idx="1800">
                  <c:v>2/8/2023</c:v>
                </c:pt>
                <c:pt idx="1801">
                  <c:v>2/9/2023</c:v>
                </c:pt>
                <c:pt idx="1802">
                  <c:v>2/10/2023</c:v>
                </c:pt>
                <c:pt idx="1803">
                  <c:v>2/13/2023</c:v>
                </c:pt>
                <c:pt idx="1804">
                  <c:v>2/14/2023</c:v>
                </c:pt>
                <c:pt idx="1805">
                  <c:v>2/15/2023</c:v>
                </c:pt>
                <c:pt idx="1806">
                  <c:v>2/16/2023</c:v>
                </c:pt>
                <c:pt idx="1807">
                  <c:v>2/17/2023</c:v>
                </c:pt>
                <c:pt idx="1808">
                  <c:v>2/20/2023</c:v>
                </c:pt>
                <c:pt idx="1809">
                  <c:v>2/21/2023</c:v>
                </c:pt>
                <c:pt idx="1810">
                  <c:v>2/22/2023</c:v>
                </c:pt>
                <c:pt idx="1811">
                  <c:v>2/23/2023</c:v>
                </c:pt>
                <c:pt idx="1812">
                  <c:v>2/24/2023</c:v>
                </c:pt>
                <c:pt idx="1813">
                  <c:v>2/27/2023</c:v>
                </c:pt>
                <c:pt idx="1814">
                  <c:v>2/28/2023</c:v>
                </c:pt>
                <c:pt idx="1815">
                  <c:v>3/1/2023</c:v>
                </c:pt>
                <c:pt idx="1816">
                  <c:v>3/2/2023</c:v>
                </c:pt>
                <c:pt idx="1817">
                  <c:v>3/3/2023</c:v>
                </c:pt>
                <c:pt idx="1818">
                  <c:v>3/6/2023</c:v>
                </c:pt>
                <c:pt idx="1819">
                  <c:v>3/7/2023</c:v>
                </c:pt>
                <c:pt idx="1820">
                  <c:v>3/8/2023</c:v>
                </c:pt>
                <c:pt idx="1821">
                  <c:v>3/9/2023</c:v>
                </c:pt>
                <c:pt idx="1822">
                  <c:v>3/10/2023</c:v>
                </c:pt>
                <c:pt idx="1823">
                  <c:v>3/13/2023</c:v>
                </c:pt>
                <c:pt idx="1824">
                  <c:v>3/14/2023</c:v>
                </c:pt>
                <c:pt idx="1825">
                  <c:v>3/15/2023</c:v>
                </c:pt>
                <c:pt idx="1826">
                  <c:v>3/16/2023</c:v>
                </c:pt>
                <c:pt idx="1827">
                  <c:v>3/17/2023</c:v>
                </c:pt>
                <c:pt idx="1828">
                  <c:v>3/20/2023</c:v>
                </c:pt>
                <c:pt idx="1829">
                  <c:v>3/21/2023</c:v>
                </c:pt>
                <c:pt idx="1830">
                  <c:v>3/22/2023</c:v>
                </c:pt>
                <c:pt idx="1831">
                  <c:v>3/23/2023</c:v>
                </c:pt>
                <c:pt idx="1832">
                  <c:v>3/24/2023</c:v>
                </c:pt>
                <c:pt idx="1833">
                  <c:v>3/27/2023</c:v>
                </c:pt>
                <c:pt idx="1834">
                  <c:v>3/28/2023</c:v>
                </c:pt>
                <c:pt idx="1835">
                  <c:v>3/29/2023</c:v>
                </c:pt>
                <c:pt idx="1836">
                  <c:v>3/30/2023</c:v>
                </c:pt>
                <c:pt idx="1837">
                  <c:v>3/31/2023</c:v>
                </c:pt>
                <c:pt idx="1838">
                  <c:v>4/3/2023</c:v>
                </c:pt>
                <c:pt idx="1839">
                  <c:v>4/4/2023</c:v>
                </c:pt>
                <c:pt idx="1840">
                  <c:v>4/5/2023</c:v>
                </c:pt>
                <c:pt idx="1841">
                  <c:v>4/6/2023</c:v>
                </c:pt>
                <c:pt idx="1842">
                  <c:v>4/7/2023</c:v>
                </c:pt>
                <c:pt idx="1843">
                  <c:v>4/10/2023</c:v>
                </c:pt>
                <c:pt idx="1844">
                  <c:v>4/11/2023</c:v>
                </c:pt>
                <c:pt idx="1845">
                  <c:v>4/12/2023</c:v>
                </c:pt>
                <c:pt idx="1846">
                  <c:v>4/13/2023</c:v>
                </c:pt>
                <c:pt idx="1847">
                  <c:v>4/14/2023</c:v>
                </c:pt>
                <c:pt idx="1848">
                  <c:v>4/17/2023</c:v>
                </c:pt>
                <c:pt idx="1849">
                  <c:v>4/18/2023</c:v>
                </c:pt>
                <c:pt idx="1850">
                  <c:v>4/19/2023</c:v>
                </c:pt>
                <c:pt idx="1851">
                  <c:v>4/20/2023</c:v>
                </c:pt>
                <c:pt idx="1852">
                  <c:v>4/21/2023</c:v>
                </c:pt>
                <c:pt idx="1853">
                  <c:v>4/24/2023</c:v>
                </c:pt>
                <c:pt idx="1854">
                  <c:v>4/25/2023</c:v>
                </c:pt>
                <c:pt idx="1855">
                  <c:v>4/26/2023</c:v>
                </c:pt>
                <c:pt idx="1856">
                  <c:v>4/27/2023</c:v>
                </c:pt>
                <c:pt idx="1857">
                  <c:v>4/28/2023</c:v>
                </c:pt>
                <c:pt idx="1858">
                  <c:v>4/28/2023</c:v>
                </c:pt>
                <c:pt idx="1859">
                  <c:v>5/1/2023</c:v>
                </c:pt>
                <c:pt idx="1860">
                  <c:v>5/2/2023</c:v>
                </c:pt>
                <c:pt idx="1861">
                  <c:v>5/3/2023</c:v>
                </c:pt>
                <c:pt idx="1862">
                  <c:v>5/4/2023</c:v>
                </c:pt>
                <c:pt idx="1863">
                  <c:v>5/5/2023</c:v>
                </c:pt>
                <c:pt idx="1864">
                  <c:v>5/8/2023</c:v>
                </c:pt>
                <c:pt idx="1865">
                  <c:v>5/9/2023</c:v>
                </c:pt>
                <c:pt idx="1866">
                  <c:v>5/10/2023</c:v>
                </c:pt>
                <c:pt idx="1867">
                  <c:v>5/11/2023</c:v>
                </c:pt>
                <c:pt idx="1868">
                  <c:v>5/12/2023</c:v>
                </c:pt>
                <c:pt idx="1869">
                  <c:v>5/15/2023</c:v>
                </c:pt>
                <c:pt idx="1870">
                  <c:v>5/16/2023</c:v>
                </c:pt>
                <c:pt idx="1871">
                  <c:v>5/17/2023</c:v>
                </c:pt>
                <c:pt idx="1872">
                  <c:v>5/18/2023</c:v>
                </c:pt>
                <c:pt idx="1873">
                  <c:v>5/19/2023</c:v>
                </c:pt>
                <c:pt idx="1874">
                  <c:v>5/22/2023</c:v>
                </c:pt>
                <c:pt idx="1875">
                  <c:v>5/23/2023</c:v>
                </c:pt>
                <c:pt idx="1876">
                  <c:v>5/24/2023</c:v>
                </c:pt>
                <c:pt idx="1877">
                  <c:v>5/25/2023</c:v>
                </c:pt>
                <c:pt idx="1878">
                  <c:v>5/26/2023</c:v>
                </c:pt>
                <c:pt idx="1879">
                  <c:v>5/29/2023</c:v>
                </c:pt>
                <c:pt idx="1880">
                  <c:v>5/30/2023</c:v>
                </c:pt>
                <c:pt idx="1881">
                  <c:v>5/31/2023</c:v>
                </c:pt>
                <c:pt idx="1882">
                  <c:v>6/1/2023</c:v>
                </c:pt>
                <c:pt idx="1883">
                  <c:v>6/2/2023</c:v>
                </c:pt>
                <c:pt idx="1884">
                  <c:v>6/5/2023</c:v>
                </c:pt>
                <c:pt idx="1885">
                  <c:v>6/6/2023</c:v>
                </c:pt>
                <c:pt idx="1886">
                  <c:v>6/7/2023</c:v>
                </c:pt>
                <c:pt idx="1887">
                  <c:v>6/8/2023</c:v>
                </c:pt>
                <c:pt idx="1888">
                  <c:v>6/9/2023</c:v>
                </c:pt>
                <c:pt idx="1889">
                  <c:v>6/12/2023</c:v>
                </c:pt>
                <c:pt idx="1890">
                  <c:v>6/13/2023</c:v>
                </c:pt>
                <c:pt idx="1891">
                  <c:v>6/14/2023</c:v>
                </c:pt>
                <c:pt idx="1892">
                  <c:v>6/15/2023</c:v>
                </c:pt>
                <c:pt idx="1893">
                  <c:v>6/16/2023</c:v>
                </c:pt>
                <c:pt idx="1894">
                  <c:v>6/19/2023</c:v>
                </c:pt>
                <c:pt idx="1895">
                  <c:v>6/20/2023</c:v>
                </c:pt>
                <c:pt idx="1896">
                  <c:v>6/21/2023</c:v>
                </c:pt>
                <c:pt idx="1897">
                  <c:v>6/22/2023</c:v>
                </c:pt>
                <c:pt idx="1898">
                  <c:v>6/23/2023</c:v>
                </c:pt>
                <c:pt idx="1899">
                  <c:v>6/26/2023</c:v>
                </c:pt>
                <c:pt idx="1900">
                  <c:v>6/27/2023</c:v>
                </c:pt>
                <c:pt idx="1901">
                  <c:v>6/28/2023</c:v>
                </c:pt>
                <c:pt idx="1902">
                  <c:v>6/29/2023</c:v>
                </c:pt>
                <c:pt idx="1903">
                  <c:v>6/30/2023</c:v>
                </c:pt>
                <c:pt idx="1904">
                  <c:v>7/3/2023</c:v>
                </c:pt>
                <c:pt idx="1905">
                  <c:v>7/4/2023</c:v>
                </c:pt>
                <c:pt idx="1906">
                  <c:v>7/5/2023</c:v>
                </c:pt>
                <c:pt idx="1907">
                  <c:v>7/6/2023</c:v>
                </c:pt>
                <c:pt idx="1908">
                  <c:v>7/7/2023</c:v>
                </c:pt>
                <c:pt idx="1909">
                  <c:v>7/10/2023</c:v>
                </c:pt>
                <c:pt idx="1910">
                  <c:v>7/11/2023</c:v>
                </c:pt>
                <c:pt idx="1911">
                  <c:v>7/12/2023</c:v>
                </c:pt>
                <c:pt idx="1912">
                  <c:v>7/13/2023</c:v>
                </c:pt>
                <c:pt idx="1913">
                  <c:v>7/14/2023</c:v>
                </c:pt>
                <c:pt idx="1914">
                  <c:v>7/17/2023</c:v>
                </c:pt>
                <c:pt idx="1915">
                  <c:v>7/18/2023</c:v>
                </c:pt>
                <c:pt idx="1916">
                  <c:v>7/19/2023</c:v>
                </c:pt>
                <c:pt idx="1917">
                  <c:v>7/20/2023</c:v>
                </c:pt>
                <c:pt idx="1918">
                  <c:v>7/21/2023</c:v>
                </c:pt>
                <c:pt idx="1919">
                  <c:v>7/24/2023</c:v>
                </c:pt>
                <c:pt idx="1920">
                  <c:v>7/25/2023</c:v>
                </c:pt>
                <c:pt idx="1921">
                  <c:v>7/26/2023</c:v>
                </c:pt>
                <c:pt idx="1922">
                  <c:v>7/27/2023</c:v>
                </c:pt>
                <c:pt idx="1923">
                  <c:v>7/28/2023</c:v>
                </c:pt>
                <c:pt idx="1924">
                  <c:v>7/31/2023</c:v>
                </c:pt>
                <c:pt idx="1925">
                  <c:v>8/1/2023</c:v>
                </c:pt>
                <c:pt idx="1926">
                  <c:v>8/2/2023</c:v>
                </c:pt>
                <c:pt idx="1927">
                  <c:v>8/3/2023</c:v>
                </c:pt>
                <c:pt idx="1928">
                  <c:v>8/4/2023</c:v>
                </c:pt>
                <c:pt idx="1929">
                  <c:v>8/7/2023</c:v>
                </c:pt>
                <c:pt idx="1930">
                  <c:v>8/8/2023</c:v>
                </c:pt>
                <c:pt idx="1931">
                  <c:v>8/9/2023</c:v>
                </c:pt>
                <c:pt idx="1932">
                  <c:v>8/10/2023</c:v>
                </c:pt>
                <c:pt idx="1933">
                  <c:v>8/11/2023</c:v>
                </c:pt>
                <c:pt idx="1934">
                  <c:v>8/14/2023</c:v>
                </c:pt>
                <c:pt idx="1935">
                  <c:v>8/15/2023</c:v>
                </c:pt>
                <c:pt idx="1936">
                  <c:v>8/16/2023</c:v>
                </c:pt>
                <c:pt idx="1937">
                  <c:v>8/17/2023</c:v>
                </c:pt>
                <c:pt idx="1938">
                  <c:v>8/18/2023</c:v>
                </c:pt>
                <c:pt idx="1939">
                  <c:v>8/21/2023</c:v>
                </c:pt>
                <c:pt idx="1940">
                  <c:v>8/22/2023</c:v>
                </c:pt>
                <c:pt idx="1941">
                  <c:v>8/23/2023</c:v>
                </c:pt>
                <c:pt idx="1942">
                  <c:v>8/24/2023</c:v>
                </c:pt>
                <c:pt idx="1943">
                  <c:v>8/25/2023</c:v>
                </c:pt>
                <c:pt idx="1944">
                  <c:v>8/26/2023</c:v>
                </c:pt>
                <c:pt idx="1945">
                  <c:v>8/27/2023</c:v>
                </c:pt>
                <c:pt idx="1946">
                  <c:v>8/28/2023</c:v>
                </c:pt>
                <c:pt idx="1947">
                  <c:v>8/29/2023</c:v>
                </c:pt>
                <c:pt idx="1948">
                  <c:v>8/30/2023</c:v>
                </c:pt>
                <c:pt idx="1949">
                  <c:v>8/31/2023</c:v>
                </c:pt>
                <c:pt idx="1950">
                  <c:v>9/1/2023</c:v>
                </c:pt>
                <c:pt idx="1951">
                  <c:v>9/2/2023</c:v>
                </c:pt>
                <c:pt idx="1952">
                  <c:v>9/3/2023</c:v>
                </c:pt>
                <c:pt idx="1953">
                  <c:v>9/4/2023</c:v>
                </c:pt>
                <c:pt idx="1954">
                  <c:v>9/5/2023</c:v>
                </c:pt>
                <c:pt idx="1955">
                  <c:v>9/6/2023</c:v>
                </c:pt>
                <c:pt idx="1956">
                  <c:v>9/7/2023</c:v>
                </c:pt>
                <c:pt idx="1957">
                  <c:v>9/8/2023</c:v>
                </c:pt>
                <c:pt idx="1958">
                  <c:v>9/11/2023</c:v>
                </c:pt>
                <c:pt idx="1959">
                  <c:v>9/12/2023</c:v>
                </c:pt>
                <c:pt idx="1960">
                  <c:v>9/13/2023</c:v>
                </c:pt>
                <c:pt idx="1961">
                  <c:v>9/14/2023</c:v>
                </c:pt>
                <c:pt idx="1962">
                  <c:v>9/15/2023</c:v>
                </c:pt>
                <c:pt idx="1963">
                  <c:v>9/18/2023</c:v>
                </c:pt>
                <c:pt idx="1964">
                  <c:v>9/19/2023</c:v>
                </c:pt>
                <c:pt idx="1965">
                  <c:v>9/20/2023</c:v>
                </c:pt>
                <c:pt idx="1966">
                  <c:v>9/21/2023</c:v>
                </c:pt>
                <c:pt idx="1967">
                  <c:v>9/22/2023</c:v>
                </c:pt>
                <c:pt idx="1968">
                  <c:v>9/25/2023</c:v>
                </c:pt>
                <c:pt idx="1969">
                  <c:v>9/26/2023</c:v>
                </c:pt>
                <c:pt idx="1970">
                  <c:v>9/27/2023</c:v>
                </c:pt>
                <c:pt idx="1971">
                  <c:v>9/28/2023</c:v>
                </c:pt>
                <c:pt idx="1972">
                  <c:v>9/29/2023</c:v>
                </c:pt>
                <c:pt idx="1973">
                  <c:v>10/2/2023</c:v>
                </c:pt>
                <c:pt idx="1974">
                  <c:v>10/3/2023</c:v>
                </c:pt>
                <c:pt idx="1975">
                  <c:v>10/4/2023</c:v>
                </c:pt>
                <c:pt idx="1976">
                  <c:v>10/5/2023</c:v>
                </c:pt>
                <c:pt idx="1977">
                  <c:v>10/6/2023</c:v>
                </c:pt>
                <c:pt idx="1978">
                  <c:v>10/9/2023</c:v>
                </c:pt>
                <c:pt idx="1979">
                  <c:v>10/10/2023</c:v>
                </c:pt>
                <c:pt idx="1980">
                  <c:v>10/11/2023</c:v>
                </c:pt>
                <c:pt idx="1981">
                  <c:v>10/12/2023</c:v>
                </c:pt>
                <c:pt idx="1982">
                  <c:v>10/13/2023</c:v>
                </c:pt>
                <c:pt idx="1983">
                  <c:v>10/16/2023</c:v>
                </c:pt>
                <c:pt idx="1984">
                  <c:v>10/17/2023</c:v>
                </c:pt>
                <c:pt idx="1985">
                  <c:v>10/18/2023</c:v>
                </c:pt>
                <c:pt idx="1986">
                  <c:v>10/19/2023</c:v>
                </c:pt>
                <c:pt idx="1987">
                  <c:v>10/20/2023</c:v>
                </c:pt>
                <c:pt idx="1988">
                  <c:v>10/23/2023</c:v>
                </c:pt>
                <c:pt idx="1989">
                  <c:v>10/24/2023</c:v>
                </c:pt>
                <c:pt idx="1990">
                  <c:v>10/25/2023</c:v>
                </c:pt>
                <c:pt idx="1991">
                  <c:v>10/26/2023</c:v>
                </c:pt>
                <c:pt idx="1992">
                  <c:v>10/27/2023</c:v>
                </c:pt>
                <c:pt idx="1993">
                  <c:v>10/30/2023</c:v>
                </c:pt>
                <c:pt idx="1994">
                  <c:v>10/31/2023</c:v>
                </c:pt>
                <c:pt idx="1995">
                  <c:v>11/1/2023</c:v>
                </c:pt>
                <c:pt idx="1996">
                  <c:v>11/2/2023</c:v>
                </c:pt>
                <c:pt idx="1997">
                  <c:v>11/3/2023</c:v>
                </c:pt>
                <c:pt idx="1998">
                  <c:v>11/6/2023</c:v>
                </c:pt>
                <c:pt idx="1999">
                  <c:v>11/7/2023</c:v>
                </c:pt>
                <c:pt idx="2000">
                  <c:v>11/8/2023</c:v>
                </c:pt>
                <c:pt idx="2001">
                  <c:v>11/9/2023</c:v>
                </c:pt>
                <c:pt idx="2002">
                  <c:v>11/10/2023</c:v>
                </c:pt>
                <c:pt idx="2003">
                  <c:v>11/13/2023</c:v>
                </c:pt>
                <c:pt idx="2004">
                  <c:v>11/14/2023</c:v>
                </c:pt>
                <c:pt idx="2005">
                  <c:v>11/15/2023</c:v>
                </c:pt>
                <c:pt idx="2006">
                  <c:v>11/16/2023</c:v>
                </c:pt>
                <c:pt idx="2007">
                  <c:v>11/17/2023</c:v>
                </c:pt>
                <c:pt idx="2008">
                  <c:v>11/20/2023</c:v>
                </c:pt>
                <c:pt idx="2009">
                  <c:v>11/21/2023</c:v>
                </c:pt>
                <c:pt idx="2010">
                  <c:v>11/22/2023</c:v>
                </c:pt>
                <c:pt idx="2011">
                  <c:v>11/23/2023</c:v>
                </c:pt>
                <c:pt idx="2012">
                  <c:v>11/24/2023</c:v>
                </c:pt>
                <c:pt idx="2013">
                  <c:v>11/27/2023</c:v>
                </c:pt>
                <c:pt idx="2014">
                  <c:v>11/28/2023</c:v>
                </c:pt>
                <c:pt idx="2015">
                  <c:v>11/29/2023</c:v>
                </c:pt>
                <c:pt idx="2016">
                  <c:v>11/30/2023</c:v>
                </c:pt>
                <c:pt idx="2017">
                  <c:v>12/1/2023</c:v>
                </c:pt>
                <c:pt idx="2018">
                  <c:v>12/4/2023</c:v>
                </c:pt>
                <c:pt idx="2019">
                  <c:v>12/5/2023</c:v>
                </c:pt>
                <c:pt idx="2020">
                  <c:v>12/6/2023</c:v>
                </c:pt>
                <c:pt idx="2021">
                  <c:v>12/7/2023</c:v>
                </c:pt>
                <c:pt idx="2022">
                  <c:v>12/8/2023</c:v>
                </c:pt>
                <c:pt idx="2023">
                  <c:v>12/11/2023</c:v>
                </c:pt>
                <c:pt idx="2024">
                  <c:v>12/12/2023</c:v>
                </c:pt>
                <c:pt idx="2025">
                  <c:v>12/13/2023</c:v>
                </c:pt>
                <c:pt idx="2026">
                  <c:v>12/14/2023</c:v>
                </c:pt>
                <c:pt idx="2027">
                  <c:v>12/15/2023</c:v>
                </c:pt>
                <c:pt idx="2028">
                  <c:v>12/18/2023</c:v>
                </c:pt>
                <c:pt idx="2029">
                  <c:v>12/19/2023</c:v>
                </c:pt>
                <c:pt idx="2030">
                  <c:v>12/20/2023</c:v>
                </c:pt>
                <c:pt idx="2031">
                  <c:v>12/21/2023</c:v>
                </c:pt>
                <c:pt idx="2032">
                  <c:v>12/22/2023</c:v>
                </c:pt>
                <c:pt idx="2033">
                  <c:v>12/25/2023</c:v>
                </c:pt>
                <c:pt idx="2034">
                  <c:v>12/26/2023</c:v>
                </c:pt>
                <c:pt idx="2035">
                  <c:v>12/27/2023</c:v>
                </c:pt>
                <c:pt idx="2036">
                  <c:v>12/28/2023</c:v>
                </c:pt>
                <c:pt idx="2037">
                  <c:v>12/29/2023</c:v>
                </c:pt>
                <c:pt idx="2038">
                  <c:v>12/30/2023</c:v>
                </c:pt>
                <c:pt idx="2039">
                  <c:v>12/31/2023</c:v>
                </c:pt>
                <c:pt idx="2040">
                  <c:v>1/1/2024</c:v>
                </c:pt>
                <c:pt idx="2041">
                  <c:v>1/2/2024</c:v>
                </c:pt>
                <c:pt idx="2042">
                  <c:v>1/3/2024</c:v>
                </c:pt>
                <c:pt idx="2043">
                  <c:v>1/4/2024</c:v>
                </c:pt>
                <c:pt idx="2044">
                  <c:v>1/5/2024</c:v>
                </c:pt>
                <c:pt idx="2045">
                  <c:v>1/8/2024</c:v>
                </c:pt>
                <c:pt idx="2046">
                  <c:v>1/9/2024</c:v>
                </c:pt>
                <c:pt idx="2047">
                  <c:v>1/10/2024</c:v>
                </c:pt>
                <c:pt idx="2048">
                  <c:v>1/11/2024</c:v>
                </c:pt>
                <c:pt idx="2049">
                  <c:v>1/12/2024</c:v>
                </c:pt>
                <c:pt idx="2050">
                  <c:v>1/15/2024</c:v>
                </c:pt>
                <c:pt idx="2051">
                  <c:v>1/16/2024</c:v>
                </c:pt>
                <c:pt idx="2052">
                  <c:v>1/17/2024</c:v>
                </c:pt>
                <c:pt idx="2053">
                  <c:v>1/18/2024</c:v>
                </c:pt>
                <c:pt idx="2054">
                  <c:v>1/19/2024</c:v>
                </c:pt>
                <c:pt idx="2055">
                  <c:v>1/22/2024</c:v>
                </c:pt>
                <c:pt idx="2056">
                  <c:v>1/23/2024</c:v>
                </c:pt>
                <c:pt idx="2057">
                  <c:v>1/24/2024</c:v>
                </c:pt>
                <c:pt idx="2058">
                  <c:v>1/25/2024</c:v>
                </c:pt>
                <c:pt idx="2059">
                  <c:v>1/26/2024</c:v>
                </c:pt>
                <c:pt idx="2060">
                  <c:v>1/29/2024</c:v>
                </c:pt>
                <c:pt idx="2061">
                  <c:v>1/30/2024</c:v>
                </c:pt>
                <c:pt idx="2062">
                  <c:v>1/31/2024</c:v>
                </c:pt>
                <c:pt idx="2063">
                  <c:v>2/1/2024</c:v>
                </c:pt>
                <c:pt idx="2064">
                  <c:v>2/2/2024</c:v>
                </c:pt>
                <c:pt idx="2065">
                  <c:v>2/5/2024</c:v>
                </c:pt>
                <c:pt idx="2066">
                  <c:v>2/6/2024</c:v>
                </c:pt>
                <c:pt idx="2067">
                  <c:v>2/7/2024</c:v>
                </c:pt>
                <c:pt idx="2068">
                  <c:v>2/8/2024</c:v>
                </c:pt>
                <c:pt idx="2069">
                  <c:v>2/9/2024</c:v>
                </c:pt>
                <c:pt idx="2070">
                  <c:v>2/12/2024</c:v>
                </c:pt>
                <c:pt idx="2071">
                  <c:v>2/13/2024</c:v>
                </c:pt>
                <c:pt idx="2072">
                  <c:v>2/14/2024</c:v>
                </c:pt>
                <c:pt idx="2073">
                  <c:v>2/15/2024</c:v>
                </c:pt>
                <c:pt idx="2074">
                  <c:v>2/16/2024</c:v>
                </c:pt>
                <c:pt idx="2075">
                  <c:v>2/19/2024</c:v>
                </c:pt>
                <c:pt idx="2076">
                  <c:v>2/20/2024</c:v>
                </c:pt>
                <c:pt idx="2077">
                  <c:v>2/21/2024</c:v>
                </c:pt>
                <c:pt idx="2078">
                  <c:v>2/22/2024</c:v>
                </c:pt>
                <c:pt idx="2079">
                  <c:v>2/23/2024</c:v>
                </c:pt>
                <c:pt idx="2080">
                  <c:v>2/26/2024</c:v>
                </c:pt>
                <c:pt idx="2081">
                  <c:v>2/27/2024</c:v>
                </c:pt>
                <c:pt idx="2082">
                  <c:v>2/28/2024</c:v>
                </c:pt>
                <c:pt idx="2083">
                  <c:v>2/29/2024</c:v>
                </c:pt>
                <c:pt idx="2084">
                  <c:v>3/1/2024</c:v>
                </c:pt>
                <c:pt idx="2085">
                  <c:v>3/4/2024</c:v>
                </c:pt>
                <c:pt idx="2086">
                  <c:v>3/5/2024</c:v>
                </c:pt>
                <c:pt idx="2087">
                  <c:v>3/6/2024</c:v>
                </c:pt>
                <c:pt idx="2088">
                  <c:v>3/7/2024</c:v>
                </c:pt>
                <c:pt idx="2089">
                  <c:v>3/8/2024</c:v>
                </c:pt>
                <c:pt idx="2090">
                  <c:v>3/11/2024</c:v>
                </c:pt>
                <c:pt idx="2091">
                  <c:v>3/12/2024</c:v>
                </c:pt>
                <c:pt idx="2092">
                  <c:v>3/13/2024</c:v>
                </c:pt>
                <c:pt idx="2093">
                  <c:v>3/14/2024</c:v>
                </c:pt>
                <c:pt idx="2094">
                  <c:v>3/15/2024</c:v>
                </c:pt>
                <c:pt idx="2095">
                  <c:v>3/18/2024</c:v>
                </c:pt>
                <c:pt idx="2096">
                  <c:v>3/19/2024</c:v>
                </c:pt>
                <c:pt idx="2097">
                  <c:v>3/20/2024</c:v>
                </c:pt>
                <c:pt idx="2098">
                  <c:v>3/21/2024</c:v>
                </c:pt>
                <c:pt idx="2099">
                  <c:v>3/22/2024</c:v>
                </c:pt>
                <c:pt idx="2100">
                  <c:v>3/25/2024</c:v>
                </c:pt>
                <c:pt idx="2101">
                  <c:v>3/26/2024</c:v>
                </c:pt>
                <c:pt idx="2102">
                  <c:v>3/27/2024</c:v>
                </c:pt>
                <c:pt idx="2103">
                  <c:v>3/28/2024</c:v>
                </c:pt>
                <c:pt idx="2104">
                  <c:v>3/29/2024</c:v>
                </c:pt>
                <c:pt idx="2105">
                  <c:v>4/1/2024</c:v>
                </c:pt>
                <c:pt idx="2106">
                  <c:v>4/2/2024</c:v>
                </c:pt>
                <c:pt idx="2107">
                  <c:v>4/3/2024</c:v>
                </c:pt>
                <c:pt idx="2108">
                  <c:v>4/4/2024</c:v>
                </c:pt>
                <c:pt idx="2109">
                  <c:v>4/5/2024</c:v>
                </c:pt>
                <c:pt idx="2110">
                  <c:v>4/8/2024</c:v>
                </c:pt>
                <c:pt idx="2111">
                  <c:v>4/9/2024</c:v>
                </c:pt>
                <c:pt idx="2112">
                  <c:v>4/10/2024</c:v>
                </c:pt>
                <c:pt idx="2113">
                  <c:v>4/11/2024</c:v>
                </c:pt>
                <c:pt idx="2114">
                  <c:v>4/12/2024</c:v>
                </c:pt>
                <c:pt idx="2115">
                  <c:v>4/15/2024</c:v>
                </c:pt>
                <c:pt idx="2116">
                  <c:v>4/16/2024</c:v>
                </c:pt>
                <c:pt idx="2117">
                  <c:v>4/17/2024</c:v>
                </c:pt>
                <c:pt idx="2118">
                  <c:v>4/18/2024</c:v>
                </c:pt>
                <c:pt idx="2119">
                  <c:v>4/19/2024</c:v>
                </c:pt>
                <c:pt idx="2120">
                  <c:v>4/22/2024</c:v>
                </c:pt>
                <c:pt idx="2121">
                  <c:v>4/23/2024</c:v>
                </c:pt>
                <c:pt idx="2122">
                  <c:v>4/24/2024</c:v>
                </c:pt>
                <c:pt idx="2123">
                  <c:v>4/25/2024</c:v>
                </c:pt>
                <c:pt idx="2124">
                  <c:v>4/26/2024</c:v>
                </c:pt>
                <c:pt idx="2125">
                  <c:v>4/29/2024</c:v>
                </c:pt>
                <c:pt idx="2126">
                  <c:v>4/30/2024</c:v>
                </c:pt>
                <c:pt idx="2127">
                  <c:v>5/1/2024</c:v>
                </c:pt>
                <c:pt idx="2128">
                  <c:v>5/2/2024</c:v>
                </c:pt>
                <c:pt idx="2129">
                  <c:v>5/3/2024</c:v>
                </c:pt>
                <c:pt idx="2130">
                  <c:v>5/6/2024</c:v>
                </c:pt>
                <c:pt idx="2131">
                  <c:v>5/7/2024</c:v>
                </c:pt>
                <c:pt idx="2132">
                  <c:v>5/8/2024</c:v>
                </c:pt>
                <c:pt idx="2133">
                  <c:v>5/9/2024</c:v>
                </c:pt>
                <c:pt idx="2134">
                  <c:v>5/10/2024</c:v>
                </c:pt>
                <c:pt idx="2135">
                  <c:v>5/13/2024</c:v>
                </c:pt>
                <c:pt idx="2136">
                  <c:v>5/14/2024</c:v>
                </c:pt>
                <c:pt idx="2137">
                  <c:v>5/15/2024</c:v>
                </c:pt>
                <c:pt idx="2138">
                  <c:v>5/16/2024</c:v>
                </c:pt>
                <c:pt idx="2139">
                  <c:v>5/17/2024</c:v>
                </c:pt>
                <c:pt idx="2140">
                  <c:v>5/20/2024</c:v>
                </c:pt>
                <c:pt idx="2141">
                  <c:v>5/21/2024</c:v>
                </c:pt>
                <c:pt idx="2142">
                  <c:v>5/22/2024</c:v>
                </c:pt>
                <c:pt idx="2143">
                  <c:v>5/23/2024</c:v>
                </c:pt>
                <c:pt idx="2144">
                  <c:v>5/24/2024</c:v>
                </c:pt>
                <c:pt idx="2145">
                  <c:v>5/27/2024</c:v>
                </c:pt>
                <c:pt idx="2146">
                  <c:v>5/28/2024</c:v>
                </c:pt>
                <c:pt idx="2147">
                  <c:v>5/29/2024</c:v>
                </c:pt>
                <c:pt idx="2148">
                  <c:v>5/30/2024</c:v>
                </c:pt>
                <c:pt idx="2149">
                  <c:v>5/31/2024</c:v>
                </c:pt>
                <c:pt idx="2150">
                  <c:v>6/3/2024</c:v>
                </c:pt>
                <c:pt idx="2151">
                  <c:v>6/4/2024</c:v>
                </c:pt>
                <c:pt idx="2152">
                  <c:v>6/5/2024</c:v>
                </c:pt>
                <c:pt idx="2153">
                  <c:v>6/6/2024</c:v>
                </c:pt>
                <c:pt idx="2154">
                  <c:v>6/7/2024</c:v>
                </c:pt>
                <c:pt idx="2155">
                  <c:v>6/10/2024</c:v>
                </c:pt>
                <c:pt idx="2156">
                  <c:v>6/11/2024</c:v>
                </c:pt>
                <c:pt idx="2157">
                  <c:v>6/12/2024</c:v>
                </c:pt>
                <c:pt idx="2158">
                  <c:v>6/13/2024</c:v>
                </c:pt>
                <c:pt idx="2159">
                  <c:v>6/14/2024</c:v>
                </c:pt>
                <c:pt idx="2160">
                  <c:v>6/17/2024</c:v>
                </c:pt>
                <c:pt idx="2161">
                  <c:v>6/18/2024</c:v>
                </c:pt>
                <c:pt idx="2162">
                  <c:v>6/19/2024</c:v>
                </c:pt>
                <c:pt idx="2163">
                  <c:v>6/20/2024</c:v>
                </c:pt>
                <c:pt idx="2164">
                  <c:v>6/21/2024</c:v>
                </c:pt>
                <c:pt idx="2165">
                  <c:v>6/24/2024</c:v>
                </c:pt>
                <c:pt idx="2166">
                  <c:v>6/25/2024</c:v>
                </c:pt>
                <c:pt idx="2167">
                  <c:v>6/26/2024</c:v>
                </c:pt>
                <c:pt idx="2168">
                  <c:v>6/27/2024</c:v>
                </c:pt>
                <c:pt idx="2169">
                  <c:v>6/28/2024</c:v>
                </c:pt>
                <c:pt idx="2170">
                  <c:v>7/1/2024</c:v>
                </c:pt>
                <c:pt idx="2171">
                  <c:v>7/2/2024</c:v>
                </c:pt>
                <c:pt idx="2172">
                  <c:v>7/3/2024</c:v>
                </c:pt>
                <c:pt idx="2173">
                  <c:v>7/4/2024</c:v>
                </c:pt>
                <c:pt idx="2174">
                  <c:v>7/5/2024</c:v>
                </c:pt>
                <c:pt idx="2175">
                  <c:v>7/8/2024</c:v>
                </c:pt>
                <c:pt idx="2176">
                  <c:v>7/9/2024</c:v>
                </c:pt>
                <c:pt idx="2177">
                  <c:v>7/10/2024</c:v>
                </c:pt>
                <c:pt idx="2178">
                  <c:v>7/11/2024</c:v>
                </c:pt>
                <c:pt idx="2179">
                  <c:v>7/12/2024</c:v>
                </c:pt>
                <c:pt idx="2180">
                  <c:v>7/15/2024</c:v>
                </c:pt>
                <c:pt idx="2181">
                  <c:v>7/16/2024</c:v>
                </c:pt>
                <c:pt idx="2182">
                  <c:v>7/17/2024</c:v>
                </c:pt>
                <c:pt idx="2183">
                  <c:v>7/18/2024</c:v>
                </c:pt>
                <c:pt idx="2184">
                  <c:v>7/19/2024</c:v>
                </c:pt>
                <c:pt idx="2185">
                  <c:v>7/22/2024</c:v>
                </c:pt>
                <c:pt idx="2186">
                  <c:v>7/23/2024</c:v>
                </c:pt>
                <c:pt idx="2187">
                  <c:v>7/24/2024</c:v>
                </c:pt>
                <c:pt idx="2188">
                  <c:v>7/25/2024</c:v>
                </c:pt>
                <c:pt idx="2189">
                  <c:v>7/26/2024</c:v>
                </c:pt>
                <c:pt idx="2190">
                  <c:v>7/29/2024</c:v>
                </c:pt>
                <c:pt idx="2191">
                  <c:v>7/30/2024</c:v>
                </c:pt>
                <c:pt idx="2192">
                  <c:v>7/31/2024</c:v>
                </c:pt>
                <c:pt idx="2193">
                  <c:v>8/1/2024</c:v>
                </c:pt>
                <c:pt idx="2194">
                  <c:v>8/2/2024</c:v>
                </c:pt>
                <c:pt idx="2195">
                  <c:v>8/5/2024</c:v>
                </c:pt>
                <c:pt idx="2196">
                  <c:v>8/6/2024</c:v>
                </c:pt>
                <c:pt idx="2197">
                  <c:v>8/7/2024</c:v>
                </c:pt>
                <c:pt idx="2198">
                  <c:v>8/8/2024</c:v>
                </c:pt>
                <c:pt idx="2199">
                  <c:v>8/9/2024</c:v>
                </c:pt>
                <c:pt idx="2200">
                  <c:v>8/12/2024</c:v>
                </c:pt>
                <c:pt idx="2201">
                  <c:v>8/13/2024</c:v>
                </c:pt>
                <c:pt idx="2202">
                  <c:v>8/14/2024</c:v>
                </c:pt>
                <c:pt idx="2203">
                  <c:v>8/15/2024</c:v>
                </c:pt>
                <c:pt idx="2204">
                  <c:v>8/16/2024</c:v>
                </c:pt>
                <c:pt idx="2205">
                  <c:v>8/19/2024</c:v>
                </c:pt>
                <c:pt idx="2206">
                  <c:v>8/20/2024</c:v>
                </c:pt>
                <c:pt idx="2207">
                  <c:v>8/21/2024</c:v>
                </c:pt>
                <c:pt idx="2208">
                  <c:v>8/22/2024</c:v>
                </c:pt>
                <c:pt idx="2209">
                  <c:v>8/23/2024</c:v>
                </c:pt>
                <c:pt idx="2210">
                  <c:v>8/26/2024</c:v>
                </c:pt>
                <c:pt idx="2211">
                  <c:v>8/27/2024</c:v>
                </c:pt>
                <c:pt idx="2212">
                  <c:v>8/28/2024</c:v>
                </c:pt>
                <c:pt idx="2213">
                  <c:v>8/29/2024</c:v>
                </c:pt>
                <c:pt idx="2214">
                  <c:v>8/30/2024</c:v>
                </c:pt>
                <c:pt idx="2215">
                  <c:v>9/2/2024</c:v>
                </c:pt>
                <c:pt idx="2216">
                  <c:v>9/3/2024</c:v>
                </c:pt>
                <c:pt idx="2217">
                  <c:v>9/4/2024</c:v>
                </c:pt>
                <c:pt idx="2218">
                  <c:v>9/5/2024</c:v>
                </c:pt>
                <c:pt idx="2219">
                  <c:v>9/6/2024</c:v>
                </c:pt>
                <c:pt idx="2220">
                  <c:v>9/9/2024</c:v>
                </c:pt>
                <c:pt idx="2221">
                  <c:v>9/10/2024</c:v>
                </c:pt>
                <c:pt idx="2222">
                  <c:v>9/11/2024</c:v>
                </c:pt>
                <c:pt idx="2223">
                  <c:v>9/12/2024</c:v>
                </c:pt>
                <c:pt idx="2224">
                  <c:v>9/13/2024</c:v>
                </c:pt>
                <c:pt idx="2225">
                  <c:v>9/16/2024</c:v>
                </c:pt>
                <c:pt idx="2226">
                  <c:v>9/17/2024</c:v>
                </c:pt>
                <c:pt idx="2227">
                  <c:v>9/18/2024</c:v>
                </c:pt>
                <c:pt idx="2228">
                  <c:v>9/19/2024</c:v>
                </c:pt>
                <c:pt idx="2229">
                  <c:v>9/20/2024</c:v>
                </c:pt>
                <c:pt idx="2230">
                  <c:v>9/23/2024</c:v>
                </c:pt>
                <c:pt idx="2231">
                  <c:v>9/24/2024</c:v>
                </c:pt>
                <c:pt idx="2232">
                  <c:v>9/25/2024</c:v>
                </c:pt>
                <c:pt idx="2233">
                  <c:v>9/26/2024</c:v>
                </c:pt>
                <c:pt idx="2234">
                  <c:v>9/27/2024</c:v>
                </c:pt>
                <c:pt idx="2235">
                  <c:v>9/30/2024</c:v>
                </c:pt>
                <c:pt idx="2236">
                  <c:v>10/1/2024</c:v>
                </c:pt>
                <c:pt idx="2237">
                  <c:v>10/2/2024</c:v>
                </c:pt>
                <c:pt idx="2238">
                  <c:v>10/3/2024</c:v>
                </c:pt>
                <c:pt idx="2239">
                  <c:v>10/4/2024</c:v>
                </c:pt>
                <c:pt idx="2240">
                  <c:v>10/7/2024</c:v>
                </c:pt>
                <c:pt idx="2241">
                  <c:v>10/8/2024</c:v>
                </c:pt>
                <c:pt idx="2242">
                  <c:v>10/9/2024</c:v>
                </c:pt>
                <c:pt idx="2243">
                  <c:v>10/10/2024</c:v>
                </c:pt>
                <c:pt idx="2244">
                  <c:v>10/11/2024</c:v>
                </c:pt>
                <c:pt idx="2245">
                  <c:v>10/14/2024</c:v>
                </c:pt>
                <c:pt idx="2246">
                  <c:v>10/15/2024</c:v>
                </c:pt>
                <c:pt idx="2247">
                  <c:v>10/16/2024</c:v>
                </c:pt>
                <c:pt idx="2248">
                  <c:v>10/17/2024</c:v>
                </c:pt>
                <c:pt idx="2249">
                  <c:v>10/18/2024</c:v>
                </c:pt>
                <c:pt idx="2250">
                  <c:v>10/21/2024</c:v>
                </c:pt>
                <c:pt idx="2251">
                  <c:v>10/22/2024</c:v>
                </c:pt>
                <c:pt idx="2252">
                  <c:v>10/23/2024</c:v>
                </c:pt>
                <c:pt idx="2253">
                  <c:v>10/24/2024</c:v>
                </c:pt>
                <c:pt idx="2254">
                  <c:v>10/25/2024</c:v>
                </c:pt>
                <c:pt idx="2255">
                  <c:v>10/28/2024</c:v>
                </c:pt>
                <c:pt idx="2256">
                  <c:v>10/29/2024</c:v>
                </c:pt>
                <c:pt idx="2257">
                  <c:v>10/30/2024</c:v>
                </c:pt>
                <c:pt idx="2258">
                  <c:v>10/31/2024</c:v>
                </c:pt>
                <c:pt idx="2259">
                  <c:v>11/1/2024</c:v>
                </c:pt>
                <c:pt idx="2260">
                  <c:v>11/5/2024</c:v>
                </c:pt>
                <c:pt idx="2261">
                  <c:v>11/5/2024</c:v>
                </c:pt>
                <c:pt idx="2262">
                  <c:v>11/6/2024</c:v>
                </c:pt>
                <c:pt idx="2263">
                  <c:v>11/7/2024</c:v>
                </c:pt>
                <c:pt idx="2264">
                  <c:v>11/7/2024</c:v>
                </c:pt>
                <c:pt idx="2265">
                  <c:v>11/7/2024</c:v>
                </c:pt>
                <c:pt idx="2266">
                  <c:v>11/7/2024</c:v>
                </c:pt>
                <c:pt idx="2267">
                  <c:v>11/7/2024</c:v>
                </c:pt>
                <c:pt idx="2268">
                  <c:v>11/7/2024</c:v>
                </c:pt>
                <c:pt idx="2269">
                  <c:v>11/7/2024</c:v>
                </c:pt>
                <c:pt idx="2270">
                  <c:v>11/7/2024</c:v>
                </c:pt>
                <c:pt idx="2271">
                  <c:v>11/7/2024</c:v>
                </c:pt>
                <c:pt idx="2272">
                  <c:v>11/7/2024</c:v>
                </c:pt>
                <c:pt idx="2273">
                  <c:v>11/7/2024</c:v>
                </c:pt>
                <c:pt idx="2274">
                  <c:v>11/7/2024</c:v>
                </c:pt>
                <c:pt idx="2275">
                  <c:v>11/7/2024</c:v>
                </c:pt>
                <c:pt idx="2276">
                  <c:v>11/7/2024</c:v>
                </c:pt>
                <c:pt idx="2277">
                  <c:v>11/7/2024</c:v>
                </c:pt>
                <c:pt idx="2278">
                  <c:v>11/7/2024</c:v>
                </c:pt>
                <c:pt idx="2279">
                  <c:v>11/7/2024</c:v>
                </c:pt>
                <c:pt idx="2280">
                  <c:v>11/7/2024</c:v>
                </c:pt>
                <c:pt idx="2281">
                  <c:v>11/7/2024</c:v>
                </c:pt>
                <c:pt idx="2282">
                  <c:v>11/8/2024</c:v>
                </c:pt>
                <c:pt idx="2283">
                  <c:v>11/8/2024</c:v>
                </c:pt>
                <c:pt idx="2284">
                  <c:v>11/12/2024</c:v>
                </c:pt>
                <c:pt idx="2285">
                  <c:v>11/12/2024</c:v>
                </c:pt>
                <c:pt idx="2286">
                  <c:v>11/12/2024</c:v>
                </c:pt>
                <c:pt idx="2287">
                  <c:v>11/14/2024</c:v>
                </c:pt>
                <c:pt idx="2288">
                  <c:v>11/14/2024</c:v>
                </c:pt>
                <c:pt idx="2289">
                  <c:v>11/14/2024</c:v>
                </c:pt>
                <c:pt idx="2290">
                  <c:v>11/14/2024</c:v>
                </c:pt>
                <c:pt idx="2291">
                  <c:v>11/14/2024</c:v>
                </c:pt>
                <c:pt idx="2292">
                  <c:v>11/14/2024</c:v>
                </c:pt>
                <c:pt idx="2293">
                  <c:v>11/14/2024</c:v>
                </c:pt>
                <c:pt idx="2294">
                  <c:v>11/14/2024</c:v>
                </c:pt>
                <c:pt idx="2295">
                  <c:v>11/14/2024</c:v>
                </c:pt>
                <c:pt idx="2296">
                  <c:v>11/14/2024</c:v>
                </c:pt>
                <c:pt idx="2297">
                  <c:v>11/15/2024</c:v>
                </c:pt>
                <c:pt idx="2298">
                  <c:v>11/15/2024</c:v>
                </c:pt>
                <c:pt idx="2299">
                  <c:v>11/15/2024</c:v>
                </c:pt>
                <c:pt idx="2300">
                  <c:v>11/15/2024</c:v>
                </c:pt>
                <c:pt idx="2301">
                  <c:v>11/19/2024</c:v>
                </c:pt>
                <c:pt idx="2302">
                  <c:v>11/19/2024</c:v>
                </c:pt>
                <c:pt idx="2303">
                  <c:v>11/20/2024</c:v>
                </c:pt>
                <c:pt idx="2304">
                  <c:v>11/20/2024</c:v>
                </c:pt>
                <c:pt idx="2305">
                  <c:v>11/20/2024</c:v>
                </c:pt>
                <c:pt idx="2306">
                  <c:v>11/20/2024</c:v>
                </c:pt>
                <c:pt idx="2307">
                  <c:v>11/20/2024</c:v>
                </c:pt>
                <c:pt idx="2308">
                  <c:v>11/20/2024</c:v>
                </c:pt>
                <c:pt idx="2309">
                  <c:v>11/20/2024</c:v>
                </c:pt>
                <c:pt idx="2310">
                  <c:v>11/20/2024</c:v>
                </c:pt>
                <c:pt idx="2311">
                  <c:v>11/20/2024</c:v>
                </c:pt>
                <c:pt idx="2312">
                  <c:v>11/20/2024</c:v>
                </c:pt>
                <c:pt idx="2313">
                  <c:v>11/20/2024</c:v>
                </c:pt>
                <c:pt idx="2314">
                  <c:v>11/20/2024</c:v>
                </c:pt>
                <c:pt idx="2315">
                  <c:v>11/21/2024</c:v>
                </c:pt>
                <c:pt idx="2316">
                  <c:v>11/22/2024</c:v>
                </c:pt>
                <c:pt idx="2317">
                  <c:v>11/22/2024</c:v>
                </c:pt>
                <c:pt idx="2318">
                  <c:v>11/22/2024</c:v>
                </c:pt>
                <c:pt idx="2319">
                  <c:v>11/26/2024</c:v>
                </c:pt>
                <c:pt idx="2320">
                  <c:v>11/27/2024</c:v>
                </c:pt>
                <c:pt idx="2321">
                  <c:v>11/29/2024</c:v>
                </c:pt>
                <c:pt idx="2322">
                  <c:v>12/2/2024</c:v>
                </c:pt>
                <c:pt idx="2323">
                  <c:v>12/3/2024</c:v>
                </c:pt>
                <c:pt idx="2324">
                  <c:v>12/3/2024</c:v>
                </c:pt>
                <c:pt idx="2325">
                  <c:v>12/3/2024</c:v>
                </c:pt>
                <c:pt idx="2326">
                  <c:v>12/5/2024</c:v>
                </c:pt>
                <c:pt idx="2327">
                  <c:v>12/5/2024</c:v>
                </c:pt>
                <c:pt idx="2328">
                  <c:v>12/5/2024</c:v>
                </c:pt>
                <c:pt idx="2329">
                  <c:v>12/5/2024</c:v>
                </c:pt>
                <c:pt idx="2330">
                  <c:v>12/5/2024</c:v>
                </c:pt>
                <c:pt idx="2331">
                  <c:v>12/5/2024</c:v>
                </c:pt>
                <c:pt idx="2332">
                  <c:v>12/5/2024</c:v>
                </c:pt>
                <c:pt idx="2333">
                  <c:v>12/5/2024</c:v>
                </c:pt>
                <c:pt idx="2334">
                  <c:v>12/5/2024</c:v>
                </c:pt>
                <c:pt idx="2335">
                  <c:v>12/5/2024</c:v>
                </c:pt>
                <c:pt idx="2336">
                  <c:v>12/5/2024</c:v>
                </c:pt>
                <c:pt idx="2337">
                  <c:v>12/5/2024</c:v>
                </c:pt>
                <c:pt idx="2338">
                  <c:v>12/5/2024</c:v>
                </c:pt>
                <c:pt idx="2339">
                  <c:v>12/5/2024</c:v>
                </c:pt>
                <c:pt idx="2340">
                  <c:v>12/5/2024</c:v>
                </c:pt>
                <c:pt idx="2341">
                  <c:v>12/5/2024</c:v>
                </c:pt>
                <c:pt idx="2342">
                  <c:v>12/6/2024</c:v>
                </c:pt>
                <c:pt idx="2343">
                  <c:v>12/6/2024</c:v>
                </c:pt>
                <c:pt idx="2344">
                  <c:v>12/9/2024</c:v>
                </c:pt>
                <c:pt idx="2345">
                  <c:v>12/10/2024</c:v>
                </c:pt>
                <c:pt idx="2346">
                  <c:v>12/11/2024</c:v>
                </c:pt>
                <c:pt idx="2347">
                  <c:v>12/12/2024</c:v>
                </c:pt>
                <c:pt idx="2348">
                  <c:v>12/12/2024</c:v>
                </c:pt>
                <c:pt idx="2349">
                  <c:v>12/12/2024</c:v>
                </c:pt>
                <c:pt idx="2350">
                  <c:v>12/12/2024</c:v>
                </c:pt>
                <c:pt idx="2351">
                  <c:v>12/12/2024</c:v>
                </c:pt>
                <c:pt idx="2352">
                  <c:v>12/12/2024</c:v>
                </c:pt>
                <c:pt idx="2353">
                  <c:v>12/12/2024</c:v>
                </c:pt>
                <c:pt idx="2354">
                  <c:v>12/12/2024</c:v>
                </c:pt>
                <c:pt idx="2355">
                  <c:v>12/12/2024</c:v>
                </c:pt>
                <c:pt idx="2356">
                  <c:v>12/12/2024</c:v>
                </c:pt>
                <c:pt idx="2357">
                  <c:v>12/12/2024</c:v>
                </c:pt>
                <c:pt idx="2358">
                  <c:v>12/13/2024</c:v>
                </c:pt>
                <c:pt idx="2359">
                  <c:v>12/16/2024</c:v>
                </c:pt>
                <c:pt idx="2360">
                  <c:v>12/18/2024</c:v>
                </c:pt>
                <c:pt idx="2361">
                  <c:v>12/18/2024</c:v>
                </c:pt>
                <c:pt idx="2362">
                  <c:v>12/18/2024</c:v>
                </c:pt>
                <c:pt idx="2363">
                  <c:v>12/18/2024</c:v>
                </c:pt>
                <c:pt idx="2364">
                  <c:v>12/18/2024</c:v>
                </c:pt>
                <c:pt idx="2365">
                  <c:v>12/18/2024</c:v>
                </c:pt>
                <c:pt idx="2366">
                  <c:v>12/18/2024</c:v>
                </c:pt>
                <c:pt idx="2367">
                  <c:v>12/18/2024</c:v>
                </c:pt>
                <c:pt idx="2368">
                  <c:v>12/18/2024</c:v>
                </c:pt>
                <c:pt idx="2369">
                  <c:v>12/18/2024</c:v>
                </c:pt>
                <c:pt idx="2370">
                  <c:v>12/19/2024</c:v>
                </c:pt>
                <c:pt idx="2371">
                  <c:v>12/20/2024</c:v>
                </c:pt>
                <c:pt idx="2372">
                  <c:v>12/23/2024</c:v>
                </c:pt>
                <c:pt idx="2373">
                  <c:v>12/23/2024</c:v>
                </c:pt>
                <c:pt idx="2374">
                  <c:v>12/23/2024</c:v>
                </c:pt>
                <c:pt idx="2375">
                  <c:v>12/26/2024</c:v>
                </c:pt>
                <c:pt idx="2376">
                  <c:v>12/26/2024</c:v>
                </c:pt>
                <c:pt idx="2377">
                  <c:v>12/26/2024</c:v>
                </c:pt>
                <c:pt idx="2378">
                  <c:v>12/26/2024</c:v>
                </c:pt>
                <c:pt idx="2379">
                  <c:v>12/27/2024</c:v>
                </c:pt>
                <c:pt idx="2380">
                  <c:v>12/27/2024</c:v>
                </c:pt>
                <c:pt idx="2381">
                  <c:v>12/27/2024</c:v>
                </c:pt>
                <c:pt idx="2382">
                  <c:v>12/27/2024</c:v>
                </c:pt>
                <c:pt idx="2383">
                  <c:v>12/27/2024</c:v>
                </c:pt>
                <c:pt idx="2384">
                  <c:v>12/27/2024</c:v>
                </c:pt>
                <c:pt idx="2385">
                  <c:v>12/27/2024</c:v>
                </c:pt>
                <c:pt idx="2386">
                  <c:v>12/27/2024</c:v>
                </c:pt>
                <c:pt idx="2387">
                  <c:v>12/27/2024</c:v>
                </c:pt>
                <c:pt idx="2388">
                  <c:v>12/30/2024</c:v>
                </c:pt>
                <c:pt idx="2389">
                  <c:v>12/31/2024</c:v>
                </c:pt>
                <c:pt idx="2390">
                  <c:v>1/2/2025</c:v>
                </c:pt>
                <c:pt idx="2391">
                  <c:v>1/6/2025</c:v>
                </c:pt>
                <c:pt idx="2392">
                  <c:v>1/7/2025</c:v>
                </c:pt>
                <c:pt idx="2393">
                  <c:v>1/8/2025</c:v>
                </c:pt>
                <c:pt idx="2394">
                  <c:v>1/14/2025</c:v>
                </c:pt>
                <c:pt idx="2395">
                  <c:v>1/15/2025</c:v>
                </c:pt>
                <c:pt idx="2396">
                  <c:v>1/15/2025</c:v>
                </c:pt>
                <c:pt idx="2397">
                  <c:v>1/15/2025</c:v>
                </c:pt>
                <c:pt idx="2398">
                  <c:v>1/15/2025</c:v>
                </c:pt>
                <c:pt idx="2399">
                  <c:v>1/16/2025</c:v>
                </c:pt>
                <c:pt idx="2400">
                  <c:v>1/16/2025</c:v>
                </c:pt>
                <c:pt idx="2401">
                  <c:v>1/16/2025</c:v>
                </c:pt>
                <c:pt idx="2402">
                  <c:v>1/16/2025</c:v>
                </c:pt>
                <c:pt idx="2403">
                  <c:v>1/16/2025</c:v>
                </c:pt>
                <c:pt idx="2404">
                  <c:v>1/16/2025</c:v>
                </c:pt>
                <c:pt idx="2405">
                  <c:v>1/16/2025</c:v>
                </c:pt>
                <c:pt idx="2406">
                  <c:v>1/16/2025</c:v>
                </c:pt>
                <c:pt idx="2407">
                  <c:v>1/16/2025</c:v>
                </c:pt>
                <c:pt idx="2408">
                  <c:v>1/16/2025</c:v>
                </c:pt>
                <c:pt idx="2409">
                  <c:v>1/16/2025</c:v>
                </c:pt>
                <c:pt idx="2410">
                  <c:v>1/16/2025</c:v>
                </c:pt>
                <c:pt idx="2411">
                  <c:v>1/16/2025</c:v>
                </c:pt>
                <c:pt idx="2412">
                  <c:v>1/16/2025</c:v>
                </c:pt>
                <c:pt idx="2413">
                  <c:v>1/16/2025</c:v>
                </c:pt>
                <c:pt idx="2414">
                  <c:v>1/16/2025</c:v>
                </c:pt>
                <c:pt idx="2415">
                  <c:v>1/17/2025</c:v>
                </c:pt>
                <c:pt idx="2416">
                  <c:v>1/21/2025</c:v>
                </c:pt>
                <c:pt idx="2417">
                  <c:v>1/21/2025</c:v>
                </c:pt>
                <c:pt idx="2418">
                  <c:v>1/21/2025</c:v>
                </c:pt>
                <c:pt idx="2419">
                  <c:v>1/21/2025</c:v>
                </c:pt>
                <c:pt idx="2420">
                  <c:v>1/22/2025</c:v>
                </c:pt>
                <c:pt idx="2421">
                  <c:v>1/22/2025</c:v>
                </c:pt>
                <c:pt idx="2422">
                  <c:v>1/22/2025</c:v>
                </c:pt>
                <c:pt idx="2423">
                  <c:v>1/23/2025</c:v>
                </c:pt>
                <c:pt idx="2424">
                  <c:v>1/27/2025</c:v>
                </c:pt>
                <c:pt idx="2425">
                  <c:v>1/28/2025</c:v>
                </c:pt>
                <c:pt idx="2426">
                  <c:v>1/28/2025</c:v>
                </c:pt>
                <c:pt idx="2427">
                  <c:v>1/29/2025</c:v>
                </c:pt>
                <c:pt idx="2428">
                  <c:v>1/29/2025</c:v>
                </c:pt>
                <c:pt idx="2429">
                  <c:v>1/29/2025</c:v>
                </c:pt>
                <c:pt idx="2430">
                  <c:v>1/29/2025</c:v>
                </c:pt>
                <c:pt idx="2431">
                  <c:v>1/30/2025</c:v>
                </c:pt>
                <c:pt idx="2432">
                  <c:v>1/31/2025</c:v>
                </c:pt>
                <c:pt idx="2433">
                  <c:v>1/31/2025</c:v>
                </c:pt>
                <c:pt idx="2434">
                  <c:v>2/3/2025</c:v>
                </c:pt>
                <c:pt idx="2435">
                  <c:v>2/3/2025</c:v>
                </c:pt>
                <c:pt idx="2436">
                  <c:v>2/6/2025</c:v>
                </c:pt>
                <c:pt idx="2437">
                  <c:v>2/6/2025</c:v>
                </c:pt>
                <c:pt idx="2438">
                  <c:v>2/6/2025</c:v>
                </c:pt>
                <c:pt idx="2439">
                  <c:v>2/6/2025</c:v>
                </c:pt>
                <c:pt idx="2440">
                  <c:v>2/6/2025</c:v>
                </c:pt>
                <c:pt idx="2441">
                  <c:v>2/6/2025</c:v>
                </c:pt>
                <c:pt idx="2442">
                  <c:v>2/6/2025</c:v>
                </c:pt>
                <c:pt idx="2443">
                  <c:v>2/6/2025</c:v>
                </c:pt>
                <c:pt idx="2444">
                  <c:v>2/6/2025</c:v>
                </c:pt>
                <c:pt idx="2445">
                  <c:v>2/6/2025</c:v>
                </c:pt>
                <c:pt idx="2446">
                  <c:v>2/6/2025</c:v>
                </c:pt>
                <c:pt idx="2447">
                  <c:v>2/6/2025</c:v>
                </c:pt>
                <c:pt idx="2448">
                  <c:v>2/6/2025</c:v>
                </c:pt>
                <c:pt idx="2449">
                  <c:v>2/6/2025</c:v>
                </c:pt>
                <c:pt idx="2450">
                  <c:v>2/6/2025</c:v>
                </c:pt>
                <c:pt idx="2451">
                  <c:v>2/6/2025</c:v>
                </c:pt>
                <c:pt idx="2452">
                  <c:v>2/6/2025</c:v>
                </c:pt>
                <c:pt idx="2453">
                  <c:v>2/6/2025</c:v>
                </c:pt>
                <c:pt idx="2454">
                  <c:v>2/6/2025</c:v>
                </c:pt>
                <c:pt idx="2455">
                  <c:v>2/7/2025</c:v>
                </c:pt>
                <c:pt idx="2456">
                  <c:v>2/7/2025</c:v>
                </c:pt>
                <c:pt idx="2457">
                  <c:v>2/11/2025</c:v>
                </c:pt>
                <c:pt idx="2458">
                  <c:v>2/12/2025</c:v>
                </c:pt>
                <c:pt idx="2459">
                  <c:v>2/13/2025</c:v>
                </c:pt>
                <c:pt idx="2460">
                  <c:v>2/13/2025</c:v>
                </c:pt>
                <c:pt idx="2461">
                  <c:v>2/13/2025</c:v>
                </c:pt>
                <c:pt idx="2462">
                  <c:v>2/13/2025</c:v>
                </c:pt>
                <c:pt idx="2463">
                  <c:v>2/13/2025</c:v>
                </c:pt>
                <c:pt idx="2464">
                  <c:v>2/13/2025</c:v>
                </c:pt>
                <c:pt idx="2465">
                  <c:v>2/13/2025</c:v>
                </c:pt>
                <c:pt idx="2466">
                  <c:v>2/13/2025</c:v>
                </c:pt>
                <c:pt idx="2467">
                  <c:v>2/13/2025</c:v>
                </c:pt>
                <c:pt idx="2468">
                  <c:v>2/13/2025</c:v>
                </c:pt>
                <c:pt idx="2469">
                  <c:v>2/13/2025</c:v>
                </c:pt>
                <c:pt idx="2470">
                  <c:v>2/13/2025</c:v>
                </c:pt>
                <c:pt idx="2471">
                  <c:v>2/14/2025</c:v>
                </c:pt>
                <c:pt idx="2472">
                  <c:v>2/18/2025</c:v>
                </c:pt>
                <c:pt idx="2473">
                  <c:v>2/20/2025</c:v>
                </c:pt>
                <c:pt idx="2474">
                  <c:v>2/20/2025</c:v>
                </c:pt>
                <c:pt idx="2475">
                  <c:v>2/21/2025</c:v>
                </c:pt>
                <c:pt idx="2476">
                  <c:v>2/21/2025</c:v>
                </c:pt>
                <c:pt idx="2477">
                  <c:v>2/21/2025</c:v>
                </c:pt>
                <c:pt idx="2478">
                  <c:v>2/21/2025</c:v>
                </c:pt>
                <c:pt idx="2479">
                  <c:v>2/21/2025</c:v>
                </c:pt>
                <c:pt idx="2480">
                  <c:v>2/21/2025</c:v>
                </c:pt>
                <c:pt idx="2481">
                  <c:v>2/21/2025</c:v>
                </c:pt>
                <c:pt idx="2482">
                  <c:v>2/21/2025</c:v>
                </c:pt>
                <c:pt idx="2483">
                  <c:v>2/21/2025</c:v>
                </c:pt>
                <c:pt idx="2484">
                  <c:v>2/21/2025</c:v>
                </c:pt>
                <c:pt idx="2485">
                  <c:v>2/21/2025</c:v>
                </c:pt>
                <c:pt idx="2486">
                  <c:v>2/21/2025</c:v>
                </c:pt>
                <c:pt idx="2487">
                  <c:v>2/21/2025</c:v>
                </c:pt>
                <c:pt idx="2488">
                  <c:v>2/21/2025</c:v>
                </c:pt>
                <c:pt idx="2489">
                  <c:v>2/21/2025</c:v>
                </c:pt>
                <c:pt idx="2490">
                  <c:v>2/21/2025</c:v>
                </c:pt>
                <c:pt idx="2491">
                  <c:v>2/21/2025</c:v>
                </c:pt>
                <c:pt idx="2492">
                  <c:v>2/24/2025</c:v>
                </c:pt>
                <c:pt idx="2493">
                  <c:v>2/24/2025</c:v>
                </c:pt>
                <c:pt idx="2494">
                  <c:v>2/25/2025</c:v>
                </c:pt>
                <c:pt idx="2495">
                  <c:v>2/25/2025</c:v>
                </c:pt>
                <c:pt idx="2496">
                  <c:v>2/26/2025</c:v>
                </c:pt>
                <c:pt idx="2497">
                  <c:v>2/26/2025</c:v>
                </c:pt>
                <c:pt idx="2498">
                  <c:v>2/27/2025</c:v>
                </c:pt>
                <c:pt idx="2499">
                  <c:v>2/27/2025</c:v>
                </c:pt>
                <c:pt idx="2500">
                  <c:v>2/27/2025</c:v>
                </c:pt>
                <c:pt idx="2501">
                  <c:v>2/27/2025</c:v>
                </c:pt>
                <c:pt idx="2502">
                  <c:v>2/27/2025</c:v>
                </c:pt>
                <c:pt idx="2503">
                  <c:v>2/27/2025</c:v>
                </c:pt>
                <c:pt idx="2504">
                  <c:v>2/27/2025</c:v>
                </c:pt>
                <c:pt idx="2505">
                  <c:v>2/27/2025</c:v>
                </c:pt>
                <c:pt idx="2506">
                  <c:v>2/28/2025</c:v>
                </c:pt>
                <c:pt idx="2507">
                  <c:v>03/05/2025</c:v>
                </c:pt>
                <c:pt idx="2508">
                  <c:v>03/05/2025</c:v>
                </c:pt>
                <c:pt idx="2509">
                  <c:v>03/05/2025</c:v>
                </c:pt>
                <c:pt idx="2510">
                  <c:v>03/07/2025</c:v>
                </c:pt>
                <c:pt idx="2511">
                  <c:v>03/07/2025</c:v>
                </c:pt>
                <c:pt idx="2512">
                  <c:v>03/07/2025</c:v>
                </c:pt>
                <c:pt idx="2513">
                  <c:v>03/07/2025</c:v>
                </c:pt>
                <c:pt idx="2514">
                  <c:v>03/07/2025</c:v>
                </c:pt>
                <c:pt idx="2515">
                  <c:v>03/07/2025</c:v>
                </c:pt>
                <c:pt idx="2516">
                  <c:v>03/07/2025</c:v>
                </c:pt>
                <c:pt idx="2517">
                  <c:v>03/07/2025</c:v>
                </c:pt>
                <c:pt idx="2518">
                  <c:v>03/07/2025</c:v>
                </c:pt>
                <c:pt idx="2519">
                  <c:v>03/07/2025</c:v>
                </c:pt>
                <c:pt idx="2520">
                  <c:v>03/07/2025</c:v>
                </c:pt>
                <c:pt idx="2521">
                  <c:v>03/07/2025</c:v>
                </c:pt>
                <c:pt idx="2522">
                  <c:v>03/07/2025</c:v>
                </c:pt>
                <c:pt idx="2523">
                  <c:v>03/07/2025</c:v>
                </c:pt>
                <c:pt idx="2524">
                  <c:v>03/07/2025</c:v>
                </c:pt>
                <c:pt idx="2525">
                  <c:v>03/07/2025</c:v>
                </c:pt>
                <c:pt idx="2526">
                  <c:v>03/07/2025</c:v>
                </c:pt>
                <c:pt idx="2527">
                  <c:v>03/07/2025</c:v>
                </c:pt>
                <c:pt idx="2528">
                  <c:v>03/10/2025</c:v>
                </c:pt>
                <c:pt idx="2529">
                  <c:v>03/12/2025</c:v>
                </c:pt>
                <c:pt idx="2530">
                  <c:v>03/13/2025</c:v>
                </c:pt>
                <c:pt idx="2531">
                  <c:v>03/13/2025</c:v>
                </c:pt>
                <c:pt idx="2532">
                  <c:v>03/13/2025</c:v>
                </c:pt>
                <c:pt idx="2533">
                  <c:v>03/13/2025</c:v>
                </c:pt>
                <c:pt idx="2534">
                  <c:v>03/13/2025</c:v>
                </c:pt>
                <c:pt idx="2535">
                  <c:v>03/13/2025</c:v>
                </c:pt>
                <c:pt idx="2536">
                  <c:v>03/13/2025</c:v>
                </c:pt>
                <c:pt idx="2537">
                  <c:v>03/13/2025</c:v>
                </c:pt>
                <c:pt idx="2538">
                  <c:v>03/13/2025</c:v>
                </c:pt>
                <c:pt idx="2539">
                  <c:v>03/13/2025</c:v>
                </c:pt>
                <c:pt idx="2540">
                  <c:v>03/14/2025</c:v>
                </c:pt>
                <c:pt idx="2541">
                  <c:v>03/14/2025</c:v>
                </c:pt>
                <c:pt idx="2542">
                  <c:v>03/14/2025</c:v>
                </c:pt>
                <c:pt idx="2543">
                  <c:v>03/14/2025</c:v>
                </c:pt>
                <c:pt idx="2544">
                  <c:v>03/14/2025</c:v>
                </c:pt>
                <c:pt idx="2545">
                  <c:v>03/14/2025</c:v>
                </c:pt>
                <c:pt idx="2546">
                  <c:v>03/14/2025</c:v>
                </c:pt>
                <c:pt idx="2547">
                  <c:v>03/14/2025</c:v>
                </c:pt>
                <c:pt idx="2548">
                  <c:v>03/14/2025</c:v>
                </c:pt>
                <c:pt idx="2549">
                  <c:v>03/14/2025</c:v>
                </c:pt>
                <c:pt idx="2550">
                  <c:v>03/14/2025</c:v>
                </c:pt>
                <c:pt idx="2551">
                  <c:v>03/18/2025</c:v>
                </c:pt>
                <c:pt idx="2552">
                  <c:v>03/20/2025</c:v>
                </c:pt>
                <c:pt idx="2553">
                  <c:v>03/20/2025</c:v>
                </c:pt>
                <c:pt idx="2554">
                  <c:v>03/20/2025</c:v>
                </c:pt>
                <c:pt idx="2555">
                  <c:v>03/20/2025</c:v>
                </c:pt>
                <c:pt idx="2556">
                  <c:v>03/20/2025</c:v>
                </c:pt>
                <c:pt idx="2557">
                  <c:v>03/25/2025</c:v>
                </c:pt>
                <c:pt idx="2558">
                  <c:v>03/25/2025</c:v>
                </c:pt>
                <c:pt idx="2559">
                  <c:v>03/26/2025</c:v>
                </c:pt>
                <c:pt idx="2560">
                  <c:v>03/26/2025</c:v>
                </c:pt>
                <c:pt idx="2561">
                  <c:v>03/26/2025</c:v>
                </c:pt>
                <c:pt idx="2562">
                  <c:v>03/26/2025</c:v>
                </c:pt>
                <c:pt idx="2563">
                  <c:v>03/27/2025</c:v>
                </c:pt>
                <c:pt idx="2564">
                  <c:v>03/27/2025</c:v>
                </c:pt>
                <c:pt idx="2565">
                  <c:v>03/27/2025</c:v>
                </c:pt>
                <c:pt idx="2566">
                  <c:v>03/27/2025</c:v>
                </c:pt>
                <c:pt idx="2567">
                  <c:v>03/27/2025</c:v>
                </c:pt>
                <c:pt idx="2568">
                  <c:v>03/27/2025</c:v>
                </c:pt>
                <c:pt idx="2569">
                  <c:v>03/28/2025</c:v>
                </c:pt>
                <c:pt idx="2570">
                  <c:v>04/01/2025</c:v>
                </c:pt>
                <c:pt idx="2571">
                  <c:v>04/01/2025</c:v>
                </c:pt>
                <c:pt idx="2572">
                  <c:v>04/01/2025</c:v>
                </c:pt>
                <c:pt idx="2573">
                  <c:v>04/01/2025</c:v>
                </c:pt>
                <c:pt idx="2574">
                  <c:v>04/01/2025</c:v>
                </c:pt>
                <c:pt idx="2575">
                  <c:v>04/01/2025</c:v>
                </c:pt>
                <c:pt idx="2576">
                  <c:v>04/01/2025</c:v>
                </c:pt>
                <c:pt idx="2577">
                  <c:v>04/01/2025</c:v>
                </c:pt>
                <c:pt idx="2578">
                  <c:v>04/01/2025</c:v>
                </c:pt>
                <c:pt idx="2579">
                  <c:v>04/01/2025</c:v>
                </c:pt>
                <c:pt idx="2580">
                  <c:v>04/01/2025</c:v>
                </c:pt>
                <c:pt idx="2581">
                  <c:v>04/01/2025</c:v>
                </c:pt>
                <c:pt idx="2582">
                  <c:v>04/01/2025</c:v>
                </c:pt>
                <c:pt idx="2583">
                  <c:v>04/01/2025</c:v>
                </c:pt>
                <c:pt idx="2584">
                  <c:v>04/01/2025</c:v>
                </c:pt>
                <c:pt idx="2585">
                  <c:v>04/02/2025</c:v>
                </c:pt>
                <c:pt idx="2586">
                  <c:v>04/02/2025</c:v>
                </c:pt>
                <c:pt idx="2587">
                  <c:v>04/02/2025</c:v>
                </c:pt>
                <c:pt idx="2588">
                  <c:v>04/02/2025</c:v>
                </c:pt>
                <c:pt idx="2589">
                  <c:v>04/02/2025</c:v>
                </c:pt>
                <c:pt idx="2590">
                  <c:v>04/02/2025</c:v>
                </c:pt>
                <c:pt idx="2591">
                  <c:v>04/02/2025</c:v>
                </c:pt>
                <c:pt idx="2592">
                  <c:v>04/02/2025</c:v>
                </c:pt>
                <c:pt idx="2593">
                  <c:v>04/02/2025</c:v>
                </c:pt>
                <c:pt idx="2594">
                  <c:v>04/02/2025</c:v>
                </c:pt>
                <c:pt idx="2595">
                  <c:v>04/02/2025</c:v>
                </c:pt>
                <c:pt idx="2596">
                  <c:v>04/02/2025</c:v>
                </c:pt>
                <c:pt idx="2597">
                  <c:v>04/02/2025</c:v>
                </c:pt>
                <c:pt idx="2598">
                  <c:v>04/02/2025</c:v>
                </c:pt>
                <c:pt idx="2599">
                  <c:v>04/02/2025</c:v>
                </c:pt>
                <c:pt idx="2600">
                  <c:v>04/04/2025</c:v>
                </c:pt>
                <c:pt idx="2601">
                  <c:v>04/09/2025</c:v>
                </c:pt>
                <c:pt idx="2602">
                  <c:v>04/10/2025</c:v>
                </c:pt>
                <c:pt idx="2603">
                  <c:v>04/10/2025</c:v>
                </c:pt>
                <c:pt idx="2604">
                  <c:v>04/10/2025</c:v>
                </c:pt>
                <c:pt idx="2605">
                  <c:v>04/10/2025</c:v>
                </c:pt>
                <c:pt idx="2606">
                  <c:v>04/10/2025</c:v>
                </c:pt>
                <c:pt idx="2607">
                  <c:v>04/10/2025</c:v>
                </c:pt>
                <c:pt idx="2608">
                  <c:v>04/10/2025</c:v>
                </c:pt>
                <c:pt idx="2609">
                  <c:v>04/10/2025</c:v>
                </c:pt>
                <c:pt idx="2610">
                  <c:v>04/10/2025</c:v>
                </c:pt>
                <c:pt idx="2611">
                  <c:v>04/10/2025</c:v>
                </c:pt>
                <c:pt idx="2612">
                  <c:v>04/10/2025</c:v>
                </c:pt>
                <c:pt idx="2613">
                  <c:v>04/10/2025</c:v>
                </c:pt>
                <c:pt idx="2614">
                  <c:v>04/10/2025</c:v>
                </c:pt>
                <c:pt idx="2615">
                  <c:v>04/10/2025</c:v>
                </c:pt>
                <c:pt idx="2616">
                  <c:v>04/10/2025</c:v>
                </c:pt>
                <c:pt idx="2617">
                  <c:v>04/10/2025</c:v>
                </c:pt>
                <c:pt idx="2618">
                  <c:v>04/11/2025</c:v>
                </c:pt>
                <c:pt idx="2619">
                  <c:v>04/15/2025</c:v>
                </c:pt>
                <c:pt idx="2620">
                  <c:v>04/17/2025</c:v>
                </c:pt>
                <c:pt idx="2621">
                  <c:v>04/17/2025</c:v>
                </c:pt>
                <c:pt idx="2622">
                  <c:v>04/17/2025</c:v>
                </c:pt>
                <c:pt idx="2623">
                  <c:v>04/17/2025</c:v>
                </c:pt>
                <c:pt idx="2624">
                  <c:v>04/17/2025</c:v>
                </c:pt>
                <c:pt idx="2625">
                  <c:v>04/17/2025</c:v>
                </c:pt>
                <c:pt idx="2626">
                  <c:v>04/17/2025</c:v>
                </c:pt>
                <c:pt idx="2627">
                  <c:v>04/21/2025</c:v>
                </c:pt>
                <c:pt idx="2628">
                  <c:v>04/22/2025</c:v>
                </c:pt>
                <c:pt idx="2629">
                  <c:v>04/23/2025</c:v>
                </c:pt>
                <c:pt idx="2630">
                  <c:v>04/23/2025</c:v>
                </c:pt>
                <c:pt idx="2631">
                  <c:v>04/23/2025</c:v>
                </c:pt>
                <c:pt idx="2632">
                  <c:v>04/23/2025</c:v>
                </c:pt>
                <c:pt idx="2633">
                  <c:v>04/23/2025</c:v>
                </c:pt>
                <c:pt idx="2634">
                  <c:v>04/23/2025</c:v>
                </c:pt>
                <c:pt idx="2635">
                  <c:v>04/23/2025</c:v>
                </c:pt>
                <c:pt idx="2636">
                  <c:v>04/23/2025</c:v>
                </c:pt>
                <c:pt idx="2637">
                  <c:v>04/23/2025</c:v>
                </c:pt>
                <c:pt idx="2638">
                  <c:v>04/23/2025</c:v>
                </c:pt>
                <c:pt idx="2639">
                  <c:v>04/23/2025</c:v>
                </c:pt>
                <c:pt idx="2640">
                  <c:v>04/23/2025</c:v>
                </c:pt>
                <c:pt idx="2641">
                  <c:v>04/23/2025</c:v>
                </c:pt>
                <c:pt idx="2642">
                  <c:v>04/25/2025</c:v>
                </c:pt>
                <c:pt idx="2643">
                  <c:v>04/25/2025</c:v>
                </c:pt>
                <c:pt idx="2644">
                  <c:v>04/25/2025</c:v>
                </c:pt>
                <c:pt idx="2645">
                  <c:v>04/29/2025</c:v>
                </c:pt>
                <c:pt idx="2646">
                  <c:v>05/01/2025</c:v>
                </c:pt>
                <c:pt idx="2647">
                  <c:v>05/01/2025</c:v>
                </c:pt>
                <c:pt idx="2648">
                  <c:v>05/01/2025</c:v>
                </c:pt>
                <c:pt idx="2649">
                  <c:v>05/01/2025</c:v>
                </c:pt>
                <c:pt idx="2650">
                  <c:v>05/01/2025</c:v>
                </c:pt>
                <c:pt idx="2651">
                  <c:v>05/01/2025</c:v>
                </c:pt>
                <c:pt idx="2652">
                  <c:v>05/01/2025</c:v>
                </c:pt>
                <c:pt idx="2653">
                  <c:v>05/01/2025</c:v>
                </c:pt>
                <c:pt idx="2654">
                  <c:v>05/01/2025</c:v>
                </c:pt>
                <c:pt idx="2655">
                  <c:v>05/01/2025</c:v>
                </c:pt>
                <c:pt idx="2656">
                  <c:v>05/01/2025</c:v>
                </c:pt>
                <c:pt idx="2657">
                  <c:v>05/05/2025</c:v>
                </c:pt>
                <c:pt idx="2658">
                  <c:v>05/06/2025</c:v>
                </c:pt>
                <c:pt idx="2659">
                  <c:v>05/06/2025</c:v>
                </c:pt>
                <c:pt idx="2660">
                  <c:v>05/07/2025</c:v>
                </c:pt>
                <c:pt idx="2661">
                  <c:v>05/07/2025</c:v>
                </c:pt>
                <c:pt idx="2662">
                  <c:v>05/07/2025</c:v>
                </c:pt>
                <c:pt idx="2663">
                  <c:v>05/07/2025</c:v>
                </c:pt>
                <c:pt idx="2664">
                  <c:v>05/07/2025</c:v>
                </c:pt>
                <c:pt idx="2665">
                  <c:v>05/07/2025</c:v>
                </c:pt>
                <c:pt idx="2666">
                  <c:v>05/07/2025</c:v>
                </c:pt>
                <c:pt idx="2667">
                  <c:v>05/07/2025</c:v>
                </c:pt>
                <c:pt idx="2668">
                  <c:v>05/08/2025</c:v>
                </c:pt>
                <c:pt idx="2669">
                  <c:v>05/08/2025</c:v>
                </c:pt>
                <c:pt idx="2670">
                  <c:v>05/08/2025</c:v>
                </c:pt>
                <c:pt idx="2671">
                  <c:v>05/08/2025</c:v>
                </c:pt>
                <c:pt idx="2672">
                  <c:v>05/08/2025</c:v>
                </c:pt>
                <c:pt idx="2673">
                  <c:v>05/08/2025</c:v>
                </c:pt>
                <c:pt idx="2674">
                  <c:v>05/08/2025</c:v>
                </c:pt>
                <c:pt idx="2675">
                  <c:v>05/08/2025</c:v>
                </c:pt>
                <c:pt idx="2676">
                  <c:v>05/08/2025</c:v>
                </c:pt>
                <c:pt idx="2677">
                  <c:v>05/08/2025</c:v>
                </c:pt>
                <c:pt idx="2678">
                  <c:v>05/08/2025</c:v>
                </c:pt>
                <c:pt idx="2679">
                  <c:v>05/08/2025</c:v>
                </c:pt>
                <c:pt idx="2680">
                  <c:v>05/08/2025</c:v>
                </c:pt>
                <c:pt idx="2681">
                  <c:v>05/08/2025</c:v>
                </c:pt>
                <c:pt idx="2682">
                  <c:v>05/15/2025</c:v>
                </c:pt>
                <c:pt idx="2683">
                  <c:v>05/15/2025</c:v>
                </c:pt>
                <c:pt idx="2684">
                  <c:v>05/15/2025</c:v>
                </c:pt>
                <c:pt idx="2685">
                  <c:v>05/15/2025</c:v>
                </c:pt>
                <c:pt idx="2686">
                  <c:v>05/15/2025</c:v>
                </c:pt>
                <c:pt idx="2687">
                  <c:v>05/15/2025</c:v>
                </c:pt>
                <c:pt idx="2688">
                  <c:v>05/15/2025</c:v>
                </c:pt>
                <c:pt idx="2689">
                  <c:v>05/15/2025</c:v>
                </c:pt>
                <c:pt idx="2690">
                  <c:v>05/15/2025</c:v>
                </c:pt>
                <c:pt idx="2691">
                  <c:v>05/15/2025</c:v>
                </c:pt>
                <c:pt idx="2692">
                  <c:v>05/15/2025</c:v>
                </c:pt>
                <c:pt idx="2693">
                  <c:v>05/15/2025</c:v>
                </c:pt>
                <c:pt idx="2694">
                  <c:v>05/15/2025</c:v>
                </c:pt>
                <c:pt idx="2695">
                  <c:v>05/15/2025</c:v>
                </c:pt>
                <c:pt idx="2696">
                  <c:v>05/15/2025</c:v>
                </c:pt>
                <c:pt idx="2697">
                  <c:v>05/15/2025</c:v>
                </c:pt>
                <c:pt idx="2698">
                  <c:v>05/15/2025</c:v>
                </c:pt>
                <c:pt idx="2699">
                  <c:v>05/15/2025</c:v>
                </c:pt>
                <c:pt idx="2700">
                  <c:v>05/15/2025</c:v>
                </c:pt>
                <c:pt idx="2701">
                  <c:v>05/16/2025</c:v>
                </c:pt>
                <c:pt idx="2702">
                  <c:v>05/16/2025</c:v>
                </c:pt>
                <c:pt idx="2703">
                  <c:v>05/16/2025</c:v>
                </c:pt>
                <c:pt idx="2704">
                  <c:v>05/20/2025</c:v>
                </c:pt>
                <c:pt idx="2705">
                  <c:v>05/21/2025</c:v>
                </c:pt>
                <c:pt idx="2706">
                  <c:v>05/21/2025</c:v>
                </c:pt>
                <c:pt idx="2707">
                  <c:v>05/22/2025</c:v>
                </c:pt>
                <c:pt idx="2708">
                  <c:v>05/22/2025</c:v>
                </c:pt>
                <c:pt idx="2709">
                  <c:v>05/22/2025</c:v>
                </c:pt>
                <c:pt idx="2710">
                  <c:v>05/22/2025</c:v>
                </c:pt>
                <c:pt idx="2711">
                  <c:v>05/22/2025</c:v>
                </c:pt>
                <c:pt idx="2712">
                  <c:v>05/23/2025</c:v>
                </c:pt>
                <c:pt idx="2713">
                  <c:v>05/27/2025</c:v>
                </c:pt>
                <c:pt idx="2714">
                  <c:v>05/27/2025</c:v>
                </c:pt>
                <c:pt idx="2715">
                  <c:v>05/27/2025</c:v>
                </c:pt>
                <c:pt idx="2716">
                  <c:v>05/27/2025</c:v>
                </c:pt>
                <c:pt idx="2717">
                  <c:v>05/28/2025</c:v>
                </c:pt>
                <c:pt idx="2718">
                  <c:v>05/28/2025</c:v>
                </c:pt>
                <c:pt idx="2719">
                  <c:v>05/28/2025</c:v>
                </c:pt>
                <c:pt idx="2720">
                  <c:v>05/28/2025</c:v>
                </c:pt>
                <c:pt idx="2721">
                  <c:v>06/03/2025</c:v>
                </c:pt>
                <c:pt idx="2722">
                  <c:v>06/03/2025</c:v>
                </c:pt>
                <c:pt idx="2723">
                  <c:v>06/04/2025</c:v>
                </c:pt>
                <c:pt idx="2724">
                  <c:v>06/05/2025</c:v>
                </c:pt>
                <c:pt idx="2725">
                  <c:v>06/05/2025</c:v>
                </c:pt>
                <c:pt idx="2726">
                  <c:v>06/05/2025</c:v>
                </c:pt>
                <c:pt idx="2727">
                  <c:v>06/05/2025</c:v>
                </c:pt>
                <c:pt idx="2728">
                  <c:v>06/05/2025</c:v>
                </c:pt>
                <c:pt idx="2729">
                  <c:v>06/05/2025</c:v>
                </c:pt>
                <c:pt idx="2730">
                  <c:v>06/05/2025</c:v>
                </c:pt>
                <c:pt idx="2731">
                  <c:v>06/05/2025</c:v>
                </c:pt>
                <c:pt idx="2732">
                  <c:v>06/05/2025</c:v>
                </c:pt>
                <c:pt idx="2733">
                  <c:v>06/05/2025</c:v>
                </c:pt>
                <c:pt idx="2734">
                  <c:v>06/05/2025</c:v>
                </c:pt>
                <c:pt idx="2735">
                  <c:v>06/05/2025</c:v>
                </c:pt>
                <c:pt idx="2736">
                  <c:v>06/05/2025</c:v>
                </c:pt>
                <c:pt idx="2737">
                  <c:v>06/05/2025</c:v>
                </c:pt>
                <c:pt idx="2738">
                  <c:v>06/05/2025</c:v>
                </c:pt>
                <c:pt idx="2739">
                  <c:v>06/05/2025</c:v>
                </c:pt>
                <c:pt idx="2740">
                  <c:v>06/05/2025</c:v>
                </c:pt>
                <c:pt idx="2741">
                  <c:v>06/06/2025</c:v>
                </c:pt>
                <c:pt idx="2742">
                  <c:v>06/06/2025</c:v>
                </c:pt>
                <c:pt idx="2743">
                  <c:v>06/09/2025</c:v>
                </c:pt>
                <c:pt idx="2744">
                  <c:v>06/12/2025</c:v>
                </c:pt>
                <c:pt idx="2745">
                  <c:v>06/12/2025</c:v>
                </c:pt>
                <c:pt idx="2746">
                  <c:v>06/12/2025</c:v>
                </c:pt>
                <c:pt idx="2747">
                  <c:v>06/12/2025</c:v>
                </c:pt>
                <c:pt idx="2748">
                  <c:v>06/13/2025</c:v>
                </c:pt>
                <c:pt idx="2749">
                  <c:v>06/17/2025</c:v>
                </c:pt>
                <c:pt idx="2750">
                  <c:v>06/18/2025</c:v>
                </c:pt>
                <c:pt idx="2751">
                  <c:v>06/18/2025</c:v>
                </c:pt>
                <c:pt idx="2752">
                  <c:v>06/18/2025</c:v>
                </c:pt>
                <c:pt idx="2753">
                  <c:v>06/18/2025</c:v>
                </c:pt>
                <c:pt idx="2754">
                  <c:v>06/18/2025</c:v>
                </c:pt>
                <c:pt idx="2755">
                  <c:v>06/18/2025</c:v>
                </c:pt>
                <c:pt idx="2756">
                  <c:v>06/18/2025</c:v>
                </c:pt>
                <c:pt idx="2757">
                  <c:v>06/18/2025</c:v>
                </c:pt>
                <c:pt idx="2758">
                  <c:v>06/18/2025</c:v>
                </c:pt>
                <c:pt idx="2759">
                  <c:v>06/18/2025</c:v>
                </c:pt>
                <c:pt idx="2760">
                  <c:v>06/18/2025</c:v>
                </c:pt>
                <c:pt idx="2761">
                  <c:v>06/18/2025</c:v>
                </c:pt>
                <c:pt idx="2762">
                  <c:v>06/18/2025</c:v>
                </c:pt>
                <c:pt idx="2763">
                  <c:v>06/18/2025</c:v>
                </c:pt>
                <c:pt idx="2764">
                  <c:v>06/18/2025</c:v>
                </c:pt>
                <c:pt idx="2765">
                  <c:v>06/18/2025</c:v>
                </c:pt>
                <c:pt idx="2766">
                  <c:v>06/20/2025</c:v>
                </c:pt>
                <c:pt idx="2767">
                  <c:v>06/23/2025</c:v>
                </c:pt>
                <c:pt idx="2768">
                  <c:v>06/24/2025</c:v>
                </c:pt>
                <c:pt idx="2769">
                  <c:v>06/25/2025</c:v>
                </c:pt>
                <c:pt idx="2770">
                  <c:v>06/25/2025</c:v>
                </c:pt>
                <c:pt idx="2771">
                  <c:v>06/26/2025</c:v>
                </c:pt>
                <c:pt idx="2772">
                  <c:v>06/26/2025</c:v>
                </c:pt>
                <c:pt idx="2773">
                  <c:v>06/26/2025</c:v>
                </c:pt>
                <c:pt idx="2774">
                  <c:v>06/26/2025</c:v>
                </c:pt>
                <c:pt idx="2775">
                  <c:v>06/27/2025</c:v>
                </c:pt>
                <c:pt idx="2776">
                  <c:v>06/27/2025</c:v>
                </c:pt>
                <c:pt idx="2777">
                  <c:v>06/27/2025</c:v>
                </c:pt>
                <c:pt idx="2778">
                  <c:v>06/27/2025</c:v>
                </c:pt>
                <c:pt idx="2779">
                  <c:v>06/27/2025</c:v>
                </c:pt>
                <c:pt idx="2780">
                  <c:v>06/27/2025</c:v>
                </c:pt>
                <c:pt idx="2781">
                  <c:v>06/27/2025</c:v>
                </c:pt>
                <c:pt idx="2782">
                  <c:v>06/27/2025</c:v>
                </c:pt>
                <c:pt idx="2783">
                  <c:v>06/27/2025</c:v>
                </c:pt>
                <c:pt idx="2784">
                  <c:v>06/27/2025</c:v>
                </c:pt>
                <c:pt idx="2785">
                  <c:v>06/27/2025</c:v>
                </c:pt>
                <c:pt idx="2786">
                  <c:v>06/27/2025</c:v>
                </c:pt>
                <c:pt idx="2787">
                  <c:v>06/27/2025</c:v>
                </c:pt>
                <c:pt idx="2788">
                  <c:v>06/27/2025</c:v>
                </c:pt>
                <c:pt idx="2789">
                  <c:v>06/27/2025</c:v>
                </c:pt>
                <c:pt idx="2790">
                  <c:v>06/27/2025</c:v>
                </c:pt>
                <c:pt idx="2791">
                  <c:v>06/27/2025</c:v>
                </c:pt>
                <c:pt idx="2792">
                  <c:v>06/27/2025</c:v>
                </c:pt>
                <c:pt idx="2793">
                  <c:v>06/27/2025</c:v>
                </c:pt>
                <c:pt idx="2794">
                  <c:v>06/30/2025</c:v>
                </c:pt>
                <c:pt idx="2795">
                  <c:v>7/1/2025</c:v>
                </c:pt>
                <c:pt idx="2796">
                  <c:v>7/2/2025</c:v>
                </c:pt>
                <c:pt idx="2797">
                  <c:v>7/2/2025</c:v>
                </c:pt>
                <c:pt idx="2798">
                  <c:v>7/2/2025</c:v>
                </c:pt>
                <c:pt idx="2799">
                  <c:v>7/2/2025</c:v>
                </c:pt>
                <c:pt idx="2800">
                  <c:v>7/2/2025</c:v>
                </c:pt>
                <c:pt idx="2801">
                  <c:v>7/2/2025</c:v>
                </c:pt>
                <c:pt idx="2802">
                  <c:v>7/7/2025</c:v>
                </c:pt>
                <c:pt idx="2803">
                  <c:v>7/8/2025</c:v>
                </c:pt>
                <c:pt idx="2804">
                  <c:v>7/10/2025</c:v>
                </c:pt>
                <c:pt idx="2805">
                  <c:v>7/10/2025</c:v>
                </c:pt>
                <c:pt idx="2806">
                  <c:v>7/10/2025</c:v>
                </c:pt>
                <c:pt idx="2807">
                  <c:v>7/10/2025</c:v>
                </c:pt>
                <c:pt idx="2808">
                  <c:v>7/10/2025</c:v>
                </c:pt>
                <c:pt idx="2809">
                  <c:v>7/10/2025</c:v>
                </c:pt>
                <c:pt idx="2810">
                  <c:v>7/10/2025</c:v>
                </c:pt>
                <c:pt idx="2811">
                  <c:v>7/10/2025</c:v>
                </c:pt>
                <c:pt idx="2812">
                  <c:v>7/10/2025</c:v>
                </c:pt>
                <c:pt idx="2813">
                  <c:v>7/10/2025</c:v>
                </c:pt>
                <c:pt idx="2814">
                  <c:v>7/10/2025</c:v>
                </c:pt>
                <c:pt idx="2815">
                  <c:v>7/10/2025</c:v>
                </c:pt>
                <c:pt idx="2816">
                  <c:v>7/10/2025</c:v>
                </c:pt>
                <c:pt idx="2817">
                  <c:v>7/10/2025</c:v>
                </c:pt>
                <c:pt idx="2818">
                  <c:v>7/10/2025</c:v>
                </c:pt>
                <c:pt idx="2819">
                  <c:v>7/10/2025</c:v>
                </c:pt>
                <c:pt idx="2820">
                  <c:v>7/10/2025</c:v>
                </c:pt>
                <c:pt idx="2821">
                  <c:v>7/10/2025</c:v>
                </c:pt>
                <c:pt idx="2822">
                  <c:v>7/10/2025</c:v>
                </c:pt>
                <c:pt idx="2823">
                  <c:v>7/15/2025</c:v>
                </c:pt>
                <c:pt idx="2824">
                  <c:v>7/15/2025</c:v>
                </c:pt>
                <c:pt idx="2825">
                  <c:v>7/18/2025</c:v>
                </c:pt>
                <c:pt idx="2826">
                  <c:v>7/18/2025</c:v>
                </c:pt>
                <c:pt idx="2827">
                  <c:v>7/18/2025</c:v>
                </c:pt>
                <c:pt idx="2828">
                  <c:v>7/18/2025</c:v>
                </c:pt>
                <c:pt idx="2829">
                  <c:v>7/18/2025</c:v>
                </c:pt>
                <c:pt idx="2830">
                  <c:v>7/18/2025</c:v>
                </c:pt>
                <c:pt idx="2831">
                  <c:v>7/18/2025</c:v>
                </c:pt>
                <c:pt idx="2832">
                  <c:v>7/18/2025</c:v>
                </c:pt>
                <c:pt idx="2833">
                  <c:v>7/18/2025</c:v>
                </c:pt>
                <c:pt idx="2834">
                  <c:v>7/18/2025</c:v>
                </c:pt>
                <c:pt idx="2835">
                  <c:v>7/18/2025</c:v>
                </c:pt>
                <c:pt idx="2836">
                  <c:v>7/18/2025</c:v>
                </c:pt>
                <c:pt idx="2837">
                  <c:v>7/18/2025</c:v>
                </c:pt>
                <c:pt idx="2838">
                  <c:v>7/18/2025</c:v>
                </c:pt>
                <c:pt idx="2839">
                  <c:v>7/18/2025</c:v>
                </c:pt>
                <c:pt idx="2840">
                  <c:v>7/18/2025</c:v>
                </c:pt>
                <c:pt idx="2841">
                  <c:v>7/18/2025</c:v>
                </c:pt>
                <c:pt idx="2842">
                  <c:v>7/21/2025</c:v>
                </c:pt>
                <c:pt idx="2843">
                  <c:v>7/21/2025</c:v>
                </c:pt>
                <c:pt idx="2844">
                  <c:v>7/23/2025</c:v>
                </c:pt>
                <c:pt idx="2845">
                  <c:v>7/23/2025</c:v>
                </c:pt>
                <c:pt idx="2846">
                  <c:v>7/23/2025</c:v>
                </c:pt>
                <c:pt idx="2847">
                  <c:v>7/23/2025</c:v>
                </c:pt>
                <c:pt idx="2848">
                  <c:v>7/24/2025</c:v>
                </c:pt>
                <c:pt idx="2849">
                  <c:v>7/24/2025</c:v>
                </c:pt>
                <c:pt idx="2850">
                  <c:v>7/24/2025</c:v>
                </c:pt>
                <c:pt idx="2851">
                  <c:v>7/25/2025</c:v>
                </c:pt>
                <c:pt idx="2852">
                  <c:v>7/25/2025</c:v>
                </c:pt>
                <c:pt idx="2853">
                  <c:v>7/25/2025</c:v>
                </c:pt>
                <c:pt idx="2854">
                  <c:v>7/25/2025</c:v>
                </c:pt>
                <c:pt idx="2855">
                  <c:v>7/28/2025</c:v>
                </c:pt>
                <c:pt idx="2856">
                  <c:v>7/30/2025</c:v>
                </c:pt>
                <c:pt idx="2857">
                  <c:v>7/31/2025</c:v>
                </c:pt>
                <c:pt idx="2858">
                  <c:v>7/31/2025</c:v>
                </c:pt>
                <c:pt idx="2859">
                  <c:v>7/31/2025</c:v>
                </c:pt>
                <c:pt idx="2860">
                  <c:v>8/1/2025</c:v>
                </c:pt>
                <c:pt idx="2861">
                  <c:v>8/1/2025</c:v>
                </c:pt>
                <c:pt idx="2862">
                  <c:v>8/1/2025</c:v>
                </c:pt>
                <c:pt idx="2863">
                  <c:v>8/1/2025</c:v>
                </c:pt>
                <c:pt idx="2864">
                  <c:v>8/1/2025</c:v>
                </c:pt>
                <c:pt idx="2865">
                  <c:v>8/4/2025</c:v>
                </c:pt>
                <c:pt idx="2866">
                  <c:v>8/4/2025</c:v>
                </c:pt>
                <c:pt idx="2867">
                  <c:v>8/6/2025</c:v>
                </c:pt>
                <c:pt idx="2868">
                  <c:v>8/7/2025</c:v>
                </c:pt>
                <c:pt idx="2869">
                  <c:v>8/7/2025</c:v>
                </c:pt>
                <c:pt idx="2870">
                  <c:v>8/7/2025</c:v>
                </c:pt>
                <c:pt idx="2871">
                  <c:v>8/7/2025</c:v>
                </c:pt>
                <c:pt idx="2872">
                  <c:v>8/7/2025</c:v>
                </c:pt>
                <c:pt idx="2873">
                  <c:v>8/7/2025</c:v>
                </c:pt>
                <c:pt idx="2874">
                  <c:v>8/7/2025</c:v>
                </c:pt>
                <c:pt idx="2875">
                  <c:v>8/7/2025</c:v>
                </c:pt>
                <c:pt idx="2876">
                  <c:v>8/7/2025</c:v>
                </c:pt>
                <c:pt idx="2877">
                  <c:v>8/7/2025</c:v>
                </c:pt>
                <c:pt idx="2878">
                  <c:v>8/7/2025</c:v>
                </c:pt>
                <c:pt idx="2879">
                  <c:v>8/7/2025</c:v>
                </c:pt>
                <c:pt idx="2880">
                  <c:v>8/7/2025</c:v>
                </c:pt>
                <c:pt idx="2881">
                  <c:v>8/7/2025</c:v>
                </c:pt>
                <c:pt idx="2882">
                  <c:v>8/7/2025</c:v>
                </c:pt>
                <c:pt idx="2883">
                  <c:v>8/12/2025</c:v>
                </c:pt>
                <c:pt idx="2884">
                  <c:v>8/13/2025</c:v>
                </c:pt>
                <c:pt idx="2885">
                  <c:v>8/15/2025</c:v>
                </c:pt>
                <c:pt idx="2886">
                  <c:v>8/15/2025</c:v>
                </c:pt>
                <c:pt idx="2887">
                  <c:v>8/15/2025</c:v>
                </c:pt>
                <c:pt idx="2888">
                  <c:v>8/15/2025</c:v>
                </c:pt>
                <c:pt idx="2889">
                  <c:v>8/15/2025</c:v>
                </c:pt>
                <c:pt idx="2890">
                  <c:v>8/15/2025</c:v>
                </c:pt>
                <c:pt idx="2891">
                  <c:v>8/15/2025</c:v>
                </c:pt>
                <c:pt idx="2892">
                  <c:v>8/18/2025</c:v>
                </c:pt>
                <c:pt idx="2893">
                  <c:v>8/18/2025</c:v>
                </c:pt>
                <c:pt idx="2894">
                  <c:v>8/18/2025</c:v>
                </c:pt>
                <c:pt idx="2895">
                  <c:v>8/20/2025</c:v>
                </c:pt>
                <c:pt idx="2896">
                  <c:v>8/21/2025</c:v>
                </c:pt>
                <c:pt idx="2897">
                  <c:v>8/21/2025</c:v>
                </c:pt>
                <c:pt idx="2898">
                  <c:v>8/21/2025</c:v>
                </c:pt>
                <c:pt idx="2899">
                  <c:v>8/21/2025</c:v>
                </c:pt>
                <c:pt idx="2900">
                  <c:v>8/21/2025</c:v>
                </c:pt>
                <c:pt idx="2901">
                  <c:v>8/21/2025</c:v>
                </c:pt>
                <c:pt idx="2902">
                  <c:v>8/21/2025</c:v>
                </c:pt>
                <c:pt idx="2903">
                  <c:v>8/21/2025</c:v>
                </c:pt>
                <c:pt idx="2904">
                  <c:v>8/21/2025</c:v>
                </c:pt>
                <c:pt idx="2905">
                  <c:v>8/21/2025</c:v>
                </c:pt>
                <c:pt idx="2906">
                  <c:v>8/21/2025</c:v>
                </c:pt>
                <c:pt idx="2907">
                  <c:v>8/21/2025</c:v>
                </c:pt>
                <c:pt idx="2908">
                  <c:v>8/21/2025</c:v>
                </c:pt>
                <c:pt idx="2909">
                  <c:v>8/22/2025</c:v>
                </c:pt>
                <c:pt idx="2910">
                  <c:v>8/25/2025</c:v>
                </c:pt>
                <c:pt idx="2911">
                  <c:v>8/25/2025</c:v>
                </c:pt>
                <c:pt idx="2912">
                  <c:v>8/26/2025</c:v>
                </c:pt>
                <c:pt idx="2913">
                  <c:v>8/26/2025</c:v>
                </c:pt>
                <c:pt idx="2914">
                  <c:v>8/27/2025</c:v>
                </c:pt>
                <c:pt idx="2915">
                  <c:v>8/27/2025</c:v>
                </c:pt>
                <c:pt idx="2916">
                  <c:v>8/28/2025</c:v>
                </c:pt>
                <c:pt idx="2917">
                  <c:v>8/29/2025</c:v>
                </c:pt>
                <c:pt idx="2918">
                  <c:v>8/29/2025</c:v>
                </c:pt>
                <c:pt idx="2919">
                  <c:v>8/31/2025</c:v>
                </c:pt>
              </c:strCache>
            </c:strRef>
          </c:cat>
          <c:val>
            <c:numRef>
              <c:extLst>
                <c:ext xmlns:c15="http://schemas.microsoft.com/office/drawing/2012/chart" uri="{02D57815-91ED-43cb-92C2-25804820EDAC}">
                  <c15:fullRef>
                    <c15:sqref>Sheet1!$D$46:$D$2986</c15:sqref>
                  </c15:fullRef>
                </c:ext>
              </c:extLst>
              <c:f>(Sheet1!$D$46,Sheet1!$D$68:$D$2986)</c:f>
              <c:numCache>
                <c:formatCode>#,##0_);[Red]\(#,##0\)</c:formatCode>
                <c:ptCount val="2920"/>
                <c:pt idx="0">
                  <c:v>389846.49</c:v>
                </c:pt>
                <c:pt idx="1">
                  <c:v>309191.53000000003</c:v>
                </c:pt>
                <c:pt idx="2">
                  <c:v>309191.53000000003</c:v>
                </c:pt>
                <c:pt idx="3">
                  <c:v>273521.59999999998</c:v>
                </c:pt>
                <c:pt idx="4">
                  <c:v>273521.59999999998</c:v>
                </c:pt>
                <c:pt idx="5">
                  <c:v>272690.59999999998</c:v>
                </c:pt>
                <c:pt idx="6">
                  <c:v>269582.73</c:v>
                </c:pt>
                <c:pt idx="7">
                  <c:v>269582.73</c:v>
                </c:pt>
                <c:pt idx="8">
                  <c:v>269763.98</c:v>
                </c:pt>
                <c:pt idx="9">
                  <c:v>269763.98</c:v>
                </c:pt>
                <c:pt idx="10">
                  <c:v>269925.98</c:v>
                </c:pt>
                <c:pt idx="11">
                  <c:v>262853.87</c:v>
                </c:pt>
                <c:pt idx="12">
                  <c:v>285492.90999999997</c:v>
                </c:pt>
                <c:pt idx="13">
                  <c:v>248936.49</c:v>
                </c:pt>
                <c:pt idx="14">
                  <c:v>299276.93</c:v>
                </c:pt>
                <c:pt idx="15">
                  <c:v>298671.93</c:v>
                </c:pt>
                <c:pt idx="16">
                  <c:v>300188.76</c:v>
                </c:pt>
                <c:pt idx="17">
                  <c:v>320014.86</c:v>
                </c:pt>
                <c:pt idx="18">
                  <c:v>316702.44</c:v>
                </c:pt>
                <c:pt idx="19">
                  <c:v>316702.44</c:v>
                </c:pt>
                <c:pt idx="20">
                  <c:v>316945.44</c:v>
                </c:pt>
                <c:pt idx="21">
                  <c:v>320979.96999999997</c:v>
                </c:pt>
                <c:pt idx="22">
                  <c:v>320979.96999999997</c:v>
                </c:pt>
                <c:pt idx="23">
                  <c:v>285992.84000000003</c:v>
                </c:pt>
                <c:pt idx="24">
                  <c:v>286063.08</c:v>
                </c:pt>
                <c:pt idx="25">
                  <c:v>314586.46000000002</c:v>
                </c:pt>
                <c:pt idx="26">
                  <c:v>317747.52</c:v>
                </c:pt>
                <c:pt idx="27">
                  <c:v>317747.52</c:v>
                </c:pt>
                <c:pt idx="28">
                  <c:v>317647.52</c:v>
                </c:pt>
                <c:pt idx="29">
                  <c:v>354645.16</c:v>
                </c:pt>
                <c:pt idx="30">
                  <c:v>354645.16</c:v>
                </c:pt>
                <c:pt idx="31">
                  <c:v>334676.08</c:v>
                </c:pt>
                <c:pt idx="32">
                  <c:v>335053.34999999998</c:v>
                </c:pt>
                <c:pt idx="33">
                  <c:v>299641.7</c:v>
                </c:pt>
                <c:pt idx="34">
                  <c:v>299641.7</c:v>
                </c:pt>
                <c:pt idx="35">
                  <c:v>316034.81</c:v>
                </c:pt>
                <c:pt idx="36">
                  <c:v>320069.11</c:v>
                </c:pt>
                <c:pt idx="37">
                  <c:v>328514.03000000003</c:v>
                </c:pt>
                <c:pt idx="38">
                  <c:v>328514.03000000003</c:v>
                </c:pt>
                <c:pt idx="39">
                  <c:v>334541.26</c:v>
                </c:pt>
                <c:pt idx="40">
                  <c:v>329880.45</c:v>
                </c:pt>
                <c:pt idx="41">
                  <c:v>337992.17</c:v>
                </c:pt>
                <c:pt idx="42">
                  <c:v>347755.4</c:v>
                </c:pt>
                <c:pt idx="43">
                  <c:v>347755.4</c:v>
                </c:pt>
                <c:pt idx="44">
                  <c:v>312817.88</c:v>
                </c:pt>
                <c:pt idx="45">
                  <c:v>314571.3</c:v>
                </c:pt>
                <c:pt idx="46">
                  <c:v>302515.78000000003</c:v>
                </c:pt>
                <c:pt idx="47">
                  <c:v>302516</c:v>
                </c:pt>
                <c:pt idx="48">
                  <c:v>302516</c:v>
                </c:pt>
                <c:pt idx="49">
                  <c:v>302516</c:v>
                </c:pt>
                <c:pt idx="50">
                  <c:v>279865.95</c:v>
                </c:pt>
                <c:pt idx="51">
                  <c:v>279866</c:v>
                </c:pt>
                <c:pt idx="52">
                  <c:v>279866</c:v>
                </c:pt>
                <c:pt idx="53">
                  <c:v>279866</c:v>
                </c:pt>
                <c:pt idx="54">
                  <c:v>279866</c:v>
                </c:pt>
                <c:pt idx="55">
                  <c:v>290096.01</c:v>
                </c:pt>
                <c:pt idx="56">
                  <c:v>247423.5</c:v>
                </c:pt>
                <c:pt idx="57">
                  <c:v>247424</c:v>
                </c:pt>
                <c:pt idx="58">
                  <c:v>247424</c:v>
                </c:pt>
                <c:pt idx="59">
                  <c:v>255459.85</c:v>
                </c:pt>
                <c:pt idx="60">
                  <c:v>255460</c:v>
                </c:pt>
                <c:pt idx="61">
                  <c:v>240780.4</c:v>
                </c:pt>
                <c:pt idx="62">
                  <c:v>240780</c:v>
                </c:pt>
                <c:pt idx="63">
                  <c:v>205735.12</c:v>
                </c:pt>
                <c:pt idx="64">
                  <c:v>207489.37</c:v>
                </c:pt>
                <c:pt idx="65">
                  <c:v>213757.9</c:v>
                </c:pt>
                <c:pt idx="66">
                  <c:v>220332.56</c:v>
                </c:pt>
                <c:pt idx="67">
                  <c:v>212813.84</c:v>
                </c:pt>
                <c:pt idx="68">
                  <c:v>212814</c:v>
                </c:pt>
                <c:pt idx="69">
                  <c:v>236539.45</c:v>
                </c:pt>
                <c:pt idx="70">
                  <c:v>234224.42</c:v>
                </c:pt>
                <c:pt idx="71">
                  <c:v>234132.08</c:v>
                </c:pt>
                <c:pt idx="72">
                  <c:v>234132.08</c:v>
                </c:pt>
                <c:pt idx="73">
                  <c:v>199890.85</c:v>
                </c:pt>
                <c:pt idx="74">
                  <c:v>221114.27</c:v>
                </c:pt>
                <c:pt idx="75">
                  <c:v>221114</c:v>
                </c:pt>
                <c:pt idx="76">
                  <c:v>214752.25</c:v>
                </c:pt>
                <c:pt idx="77">
                  <c:v>294578.96999999997</c:v>
                </c:pt>
                <c:pt idx="78">
                  <c:v>294579</c:v>
                </c:pt>
                <c:pt idx="79">
                  <c:v>294579</c:v>
                </c:pt>
                <c:pt idx="80">
                  <c:v>328195.42</c:v>
                </c:pt>
                <c:pt idx="81">
                  <c:v>407865.86</c:v>
                </c:pt>
                <c:pt idx="82">
                  <c:v>409053.93</c:v>
                </c:pt>
                <c:pt idx="83">
                  <c:v>372421.56</c:v>
                </c:pt>
                <c:pt idx="84">
                  <c:v>375562.78</c:v>
                </c:pt>
                <c:pt idx="85">
                  <c:v>375563</c:v>
                </c:pt>
                <c:pt idx="86">
                  <c:v>366510.98</c:v>
                </c:pt>
                <c:pt idx="87">
                  <c:v>366609.48</c:v>
                </c:pt>
                <c:pt idx="88">
                  <c:v>382689.69</c:v>
                </c:pt>
                <c:pt idx="89">
                  <c:v>382690</c:v>
                </c:pt>
                <c:pt idx="90">
                  <c:v>387013.59</c:v>
                </c:pt>
                <c:pt idx="91">
                  <c:v>382543.7</c:v>
                </c:pt>
                <c:pt idx="92">
                  <c:v>382544</c:v>
                </c:pt>
                <c:pt idx="93">
                  <c:v>344510.17</c:v>
                </c:pt>
                <c:pt idx="94">
                  <c:v>350095.94</c:v>
                </c:pt>
                <c:pt idx="95">
                  <c:v>350096</c:v>
                </c:pt>
                <c:pt idx="96">
                  <c:v>355079.15</c:v>
                </c:pt>
                <c:pt idx="97">
                  <c:v>356502.11</c:v>
                </c:pt>
                <c:pt idx="98">
                  <c:v>408622.46</c:v>
                </c:pt>
                <c:pt idx="99">
                  <c:v>408622</c:v>
                </c:pt>
                <c:pt idx="100">
                  <c:v>408622</c:v>
                </c:pt>
                <c:pt idx="101">
                  <c:v>409931.67</c:v>
                </c:pt>
                <c:pt idx="102">
                  <c:v>410189.3</c:v>
                </c:pt>
                <c:pt idx="103">
                  <c:v>370399.56</c:v>
                </c:pt>
                <c:pt idx="104">
                  <c:v>370399.56</c:v>
                </c:pt>
                <c:pt idx="105">
                  <c:v>370400</c:v>
                </c:pt>
                <c:pt idx="106">
                  <c:v>359591.19</c:v>
                </c:pt>
                <c:pt idx="107">
                  <c:v>399163.14</c:v>
                </c:pt>
                <c:pt idx="108">
                  <c:v>407196.62</c:v>
                </c:pt>
                <c:pt idx="109">
                  <c:v>422526.97</c:v>
                </c:pt>
                <c:pt idx="110">
                  <c:v>479216.05</c:v>
                </c:pt>
                <c:pt idx="111">
                  <c:v>479216</c:v>
                </c:pt>
                <c:pt idx="112">
                  <c:v>479216</c:v>
                </c:pt>
                <c:pt idx="113">
                  <c:v>479216</c:v>
                </c:pt>
                <c:pt idx="114">
                  <c:v>440784.82</c:v>
                </c:pt>
                <c:pt idx="115">
                  <c:v>440785</c:v>
                </c:pt>
                <c:pt idx="116">
                  <c:v>445373.31</c:v>
                </c:pt>
                <c:pt idx="117">
                  <c:v>463896.46</c:v>
                </c:pt>
                <c:pt idx="118">
                  <c:v>463296.46</c:v>
                </c:pt>
                <c:pt idx="119">
                  <c:v>465024.54</c:v>
                </c:pt>
                <c:pt idx="120">
                  <c:v>465025</c:v>
                </c:pt>
                <c:pt idx="121">
                  <c:v>447444.34</c:v>
                </c:pt>
                <c:pt idx="122">
                  <c:v>451135.42</c:v>
                </c:pt>
                <c:pt idx="123">
                  <c:v>413924.51</c:v>
                </c:pt>
                <c:pt idx="124">
                  <c:v>395080.96000000002</c:v>
                </c:pt>
                <c:pt idx="125">
                  <c:v>393852.1</c:v>
                </c:pt>
                <c:pt idx="126">
                  <c:v>397757.18</c:v>
                </c:pt>
                <c:pt idx="127">
                  <c:v>397757</c:v>
                </c:pt>
                <c:pt idx="128">
                  <c:v>397757</c:v>
                </c:pt>
                <c:pt idx="129">
                  <c:v>403105.59</c:v>
                </c:pt>
                <c:pt idx="130">
                  <c:v>394170.51</c:v>
                </c:pt>
                <c:pt idx="131">
                  <c:v>397917.56</c:v>
                </c:pt>
                <c:pt idx="132">
                  <c:v>397918</c:v>
                </c:pt>
                <c:pt idx="133">
                  <c:v>361701.8</c:v>
                </c:pt>
                <c:pt idx="134">
                  <c:v>362031.95</c:v>
                </c:pt>
                <c:pt idx="135">
                  <c:v>362032</c:v>
                </c:pt>
                <c:pt idx="136">
                  <c:v>360433.13</c:v>
                </c:pt>
                <c:pt idx="137">
                  <c:v>361754.66</c:v>
                </c:pt>
                <c:pt idx="138">
                  <c:v>361755</c:v>
                </c:pt>
                <c:pt idx="139">
                  <c:v>361755</c:v>
                </c:pt>
                <c:pt idx="140">
                  <c:v>365429.62</c:v>
                </c:pt>
                <c:pt idx="141">
                  <c:v>375400.83</c:v>
                </c:pt>
                <c:pt idx="142">
                  <c:v>375484.03</c:v>
                </c:pt>
                <c:pt idx="143">
                  <c:v>339702.96</c:v>
                </c:pt>
                <c:pt idx="144">
                  <c:v>343741.39</c:v>
                </c:pt>
                <c:pt idx="145">
                  <c:v>343741</c:v>
                </c:pt>
                <c:pt idx="146">
                  <c:v>332267.31</c:v>
                </c:pt>
                <c:pt idx="147">
                  <c:v>332482.06</c:v>
                </c:pt>
                <c:pt idx="148">
                  <c:v>332482</c:v>
                </c:pt>
                <c:pt idx="149">
                  <c:v>337085.39</c:v>
                </c:pt>
                <c:pt idx="150">
                  <c:v>337085</c:v>
                </c:pt>
                <c:pt idx="151">
                  <c:v>333113.26</c:v>
                </c:pt>
                <c:pt idx="152">
                  <c:v>360993.03</c:v>
                </c:pt>
                <c:pt idx="153">
                  <c:v>350567.25</c:v>
                </c:pt>
                <c:pt idx="154">
                  <c:v>350939.21</c:v>
                </c:pt>
                <c:pt idx="155">
                  <c:v>350939</c:v>
                </c:pt>
                <c:pt idx="156">
                  <c:v>344148.64</c:v>
                </c:pt>
                <c:pt idx="157">
                  <c:v>399084.27</c:v>
                </c:pt>
                <c:pt idx="158">
                  <c:v>399084</c:v>
                </c:pt>
                <c:pt idx="159">
                  <c:v>403667.29</c:v>
                </c:pt>
                <c:pt idx="160">
                  <c:v>403667</c:v>
                </c:pt>
                <c:pt idx="161">
                  <c:v>383477.25</c:v>
                </c:pt>
                <c:pt idx="162">
                  <c:v>383477</c:v>
                </c:pt>
                <c:pt idx="163">
                  <c:v>347717.6</c:v>
                </c:pt>
                <c:pt idx="164">
                  <c:v>347836.75</c:v>
                </c:pt>
                <c:pt idx="165">
                  <c:v>347836.75</c:v>
                </c:pt>
                <c:pt idx="166">
                  <c:v>350935.56</c:v>
                </c:pt>
                <c:pt idx="167">
                  <c:v>350936</c:v>
                </c:pt>
                <c:pt idx="168">
                  <c:v>350936</c:v>
                </c:pt>
                <c:pt idx="169">
                  <c:v>351588.06</c:v>
                </c:pt>
                <c:pt idx="170">
                  <c:v>349477.96</c:v>
                </c:pt>
                <c:pt idx="171">
                  <c:v>349478</c:v>
                </c:pt>
                <c:pt idx="172">
                  <c:v>368170.66</c:v>
                </c:pt>
                <c:pt idx="173">
                  <c:v>368170.66</c:v>
                </c:pt>
                <c:pt idx="174">
                  <c:v>328902.64</c:v>
                </c:pt>
                <c:pt idx="175">
                  <c:v>338455.85</c:v>
                </c:pt>
                <c:pt idx="176">
                  <c:v>336997.18</c:v>
                </c:pt>
                <c:pt idx="177">
                  <c:v>342825.59</c:v>
                </c:pt>
                <c:pt idx="178">
                  <c:v>342826</c:v>
                </c:pt>
                <c:pt idx="179">
                  <c:v>344457.81</c:v>
                </c:pt>
                <c:pt idx="180">
                  <c:v>366772.64</c:v>
                </c:pt>
                <c:pt idx="181">
                  <c:v>366772.6</c:v>
                </c:pt>
                <c:pt idx="182">
                  <c:v>366773</c:v>
                </c:pt>
                <c:pt idx="183">
                  <c:v>366773</c:v>
                </c:pt>
                <c:pt idx="184">
                  <c:v>346535.44</c:v>
                </c:pt>
                <c:pt idx="185">
                  <c:v>346535</c:v>
                </c:pt>
                <c:pt idx="186">
                  <c:v>335522.11</c:v>
                </c:pt>
                <c:pt idx="187">
                  <c:v>335675.99</c:v>
                </c:pt>
                <c:pt idx="188">
                  <c:v>357268.43</c:v>
                </c:pt>
                <c:pt idx="189">
                  <c:v>357268</c:v>
                </c:pt>
                <c:pt idx="190">
                  <c:v>366192.91</c:v>
                </c:pt>
                <c:pt idx="191">
                  <c:v>377001.67</c:v>
                </c:pt>
                <c:pt idx="192">
                  <c:v>377329.67</c:v>
                </c:pt>
                <c:pt idx="193">
                  <c:v>377330</c:v>
                </c:pt>
                <c:pt idx="194">
                  <c:v>339782.53</c:v>
                </c:pt>
                <c:pt idx="195">
                  <c:v>339783</c:v>
                </c:pt>
                <c:pt idx="196">
                  <c:v>337987.77</c:v>
                </c:pt>
                <c:pt idx="197">
                  <c:v>354814.33</c:v>
                </c:pt>
                <c:pt idx="198" formatCode="#,##0">
                  <c:v>354814</c:v>
                </c:pt>
                <c:pt idx="199" formatCode="#,##0">
                  <c:v>361866.86</c:v>
                </c:pt>
                <c:pt idx="200" formatCode="#,##0">
                  <c:v>363519.32</c:v>
                </c:pt>
                <c:pt idx="201" formatCode="#,##0">
                  <c:v>361866.66</c:v>
                </c:pt>
                <c:pt idx="202" formatCode="#,##0">
                  <c:v>363519</c:v>
                </c:pt>
                <c:pt idx="203" formatCode="#,##0">
                  <c:v>363543.47</c:v>
                </c:pt>
                <c:pt idx="204" formatCode="#,##0">
                  <c:v>328707.83</c:v>
                </c:pt>
                <c:pt idx="205" formatCode="#,##0">
                  <c:v>328708</c:v>
                </c:pt>
                <c:pt idx="206" formatCode="#,##0">
                  <c:v>321086.01</c:v>
                </c:pt>
                <c:pt idx="207" formatCode="#,##0">
                  <c:v>334097.28000000003</c:v>
                </c:pt>
                <c:pt idx="208" formatCode="#,##0">
                  <c:v>334097</c:v>
                </c:pt>
                <c:pt idx="209" formatCode="#,##0">
                  <c:v>268850.96000000002</c:v>
                </c:pt>
                <c:pt idx="210" formatCode="#,##0">
                  <c:v>268851</c:v>
                </c:pt>
                <c:pt idx="211" formatCode="#,##0">
                  <c:v>269075.21000000002</c:v>
                </c:pt>
                <c:pt idx="212" formatCode="#,##0">
                  <c:v>270983.21000000002</c:v>
                </c:pt>
                <c:pt idx="213" formatCode="#,##0">
                  <c:v>270983</c:v>
                </c:pt>
                <c:pt idx="214" formatCode="#,##0">
                  <c:v>270723.98</c:v>
                </c:pt>
                <c:pt idx="215" formatCode="#,##0">
                  <c:v>281353.09999999998</c:v>
                </c:pt>
                <c:pt idx="216" formatCode="#,##0">
                  <c:v>274313.84999999998</c:v>
                </c:pt>
                <c:pt idx="217" formatCode="#,##0">
                  <c:v>296447.59999999998</c:v>
                </c:pt>
                <c:pt idx="218" formatCode="#,##0">
                  <c:v>295107.96000000002</c:v>
                </c:pt>
                <c:pt idx="219" formatCode="#,##0">
                  <c:v>314030.53000000003</c:v>
                </c:pt>
                <c:pt idx="220" formatCode="#,##0">
                  <c:v>314031</c:v>
                </c:pt>
                <c:pt idx="221" formatCode="#,##0">
                  <c:v>312808.53999999998</c:v>
                </c:pt>
                <c:pt idx="222" formatCode="#,##0">
                  <c:v>316461.53999999998</c:v>
                </c:pt>
                <c:pt idx="223" formatCode="#,##0">
                  <c:v>316462</c:v>
                </c:pt>
                <c:pt idx="224" formatCode="#,##0">
                  <c:v>289560.21999999997</c:v>
                </c:pt>
                <c:pt idx="225" formatCode="#,##0">
                  <c:v>297310.21999999997</c:v>
                </c:pt>
                <c:pt idx="226" formatCode="#,##0">
                  <c:v>352433.91</c:v>
                </c:pt>
                <c:pt idx="227" formatCode="#,##0">
                  <c:v>352434</c:v>
                </c:pt>
                <c:pt idx="228" formatCode="#,##0">
                  <c:v>352434</c:v>
                </c:pt>
                <c:pt idx="229" formatCode="#,##0">
                  <c:v>352434</c:v>
                </c:pt>
                <c:pt idx="230" formatCode="#,##0">
                  <c:v>352542.46</c:v>
                </c:pt>
                <c:pt idx="231" formatCode="#,##0">
                  <c:v>383231.99</c:v>
                </c:pt>
                <c:pt idx="232" formatCode="#,##0">
                  <c:v>404679.36</c:v>
                </c:pt>
                <c:pt idx="233" formatCode="#,##0">
                  <c:v>404679</c:v>
                </c:pt>
                <c:pt idx="234" formatCode="#,##0">
                  <c:v>368703.72</c:v>
                </c:pt>
                <c:pt idx="235" formatCode="#,##0">
                  <c:v>368203.72</c:v>
                </c:pt>
                <c:pt idx="236" formatCode="#,##0">
                  <c:v>349211.92</c:v>
                </c:pt>
                <c:pt idx="237" formatCode="#,##0">
                  <c:v>384176.45</c:v>
                </c:pt>
                <c:pt idx="238" formatCode="#,##0">
                  <c:v>384176</c:v>
                </c:pt>
                <c:pt idx="239" formatCode="#,##0">
                  <c:v>384176</c:v>
                </c:pt>
                <c:pt idx="240" formatCode="#,##0">
                  <c:v>384176</c:v>
                </c:pt>
                <c:pt idx="241" formatCode="#,##0">
                  <c:v>395396.43</c:v>
                </c:pt>
                <c:pt idx="242" formatCode="#,##0">
                  <c:v>395396</c:v>
                </c:pt>
                <c:pt idx="243" formatCode="#,##0">
                  <c:v>395396</c:v>
                </c:pt>
                <c:pt idx="244" formatCode="#,##0">
                  <c:v>361856.47</c:v>
                </c:pt>
                <c:pt idx="245" formatCode="#,##0">
                  <c:v>361856</c:v>
                </c:pt>
                <c:pt idx="246" formatCode="#,##0">
                  <c:v>349877.16</c:v>
                </c:pt>
                <c:pt idx="247" formatCode="#,##0">
                  <c:v>359297.81</c:v>
                </c:pt>
                <c:pt idx="248" formatCode="#,##0">
                  <c:v>361678.91</c:v>
                </c:pt>
                <c:pt idx="249" formatCode="#,##0">
                  <c:v>361679</c:v>
                </c:pt>
                <c:pt idx="250" formatCode="#,##0">
                  <c:v>370843.37</c:v>
                </c:pt>
                <c:pt idx="251" formatCode="#,##0">
                  <c:v>377566.07</c:v>
                </c:pt>
                <c:pt idx="252" formatCode="#,##0">
                  <c:v>370373.97</c:v>
                </c:pt>
                <c:pt idx="253" formatCode="#,##0">
                  <c:v>338340.3</c:v>
                </c:pt>
                <c:pt idx="254" formatCode="#,##0">
                  <c:v>338340</c:v>
                </c:pt>
                <c:pt idx="255" formatCode="#,##0">
                  <c:v>338340</c:v>
                </c:pt>
                <c:pt idx="256" formatCode="#,##0">
                  <c:v>348438.37</c:v>
                </c:pt>
                <c:pt idx="257" formatCode="#,##0">
                  <c:v>348438</c:v>
                </c:pt>
                <c:pt idx="258" formatCode="#,##0">
                  <c:v>348360.51</c:v>
                </c:pt>
                <c:pt idx="259">
                  <c:v>348440.48</c:v>
                </c:pt>
                <c:pt idx="260">
                  <c:v>348440</c:v>
                </c:pt>
                <c:pt idx="261">
                  <c:v>350305.92</c:v>
                </c:pt>
                <c:pt idx="262">
                  <c:v>350306</c:v>
                </c:pt>
                <c:pt idx="263">
                  <c:v>350306</c:v>
                </c:pt>
                <c:pt idx="264">
                  <c:v>320389.65000000002</c:v>
                </c:pt>
                <c:pt idx="265">
                  <c:v>320390</c:v>
                </c:pt>
                <c:pt idx="266">
                  <c:v>313344</c:v>
                </c:pt>
                <c:pt idx="267">
                  <c:v>313344</c:v>
                </c:pt>
                <c:pt idx="268">
                  <c:v>306132.78000000003</c:v>
                </c:pt>
                <c:pt idx="269">
                  <c:v>286047.34999999998</c:v>
                </c:pt>
                <c:pt idx="270">
                  <c:v>286047</c:v>
                </c:pt>
                <c:pt idx="271">
                  <c:v>272128.99</c:v>
                </c:pt>
                <c:pt idx="272">
                  <c:v>272229.71000000002</c:v>
                </c:pt>
                <c:pt idx="273">
                  <c:v>236683.56</c:v>
                </c:pt>
                <c:pt idx="274">
                  <c:v>244114.64</c:v>
                </c:pt>
                <c:pt idx="275">
                  <c:v>244115</c:v>
                </c:pt>
                <c:pt idx="276">
                  <c:v>241798.76</c:v>
                </c:pt>
                <c:pt idx="277">
                  <c:v>241799</c:v>
                </c:pt>
                <c:pt idx="278">
                  <c:v>241973.76000000001</c:v>
                </c:pt>
                <c:pt idx="279">
                  <c:v>243364.2</c:v>
                </c:pt>
                <c:pt idx="280">
                  <c:v>243364</c:v>
                </c:pt>
                <c:pt idx="281">
                  <c:v>259265.45</c:v>
                </c:pt>
                <c:pt idx="282">
                  <c:v>290731.18</c:v>
                </c:pt>
                <c:pt idx="283">
                  <c:v>251486.17</c:v>
                </c:pt>
                <c:pt idx="284">
                  <c:v>253188.17</c:v>
                </c:pt>
                <c:pt idx="285">
                  <c:v>253188</c:v>
                </c:pt>
                <c:pt idx="286">
                  <c:v>232739.33</c:v>
                </c:pt>
                <c:pt idx="287">
                  <c:v>234049.33</c:v>
                </c:pt>
                <c:pt idx="288">
                  <c:v>314317.77</c:v>
                </c:pt>
                <c:pt idx="289">
                  <c:v>314318</c:v>
                </c:pt>
                <c:pt idx="290">
                  <c:v>314318</c:v>
                </c:pt>
                <c:pt idx="291">
                  <c:v>313971.28000000003</c:v>
                </c:pt>
                <c:pt idx="292">
                  <c:v>313971</c:v>
                </c:pt>
                <c:pt idx="293">
                  <c:v>271063.69</c:v>
                </c:pt>
                <c:pt idx="294">
                  <c:v>271064</c:v>
                </c:pt>
                <c:pt idx="295">
                  <c:v>271064</c:v>
                </c:pt>
                <c:pt idx="296">
                  <c:v>261497.73</c:v>
                </c:pt>
                <c:pt idx="297">
                  <c:v>311507.92</c:v>
                </c:pt>
                <c:pt idx="298">
                  <c:v>290080.52</c:v>
                </c:pt>
                <c:pt idx="299">
                  <c:v>290081</c:v>
                </c:pt>
                <c:pt idx="300">
                  <c:v>327080.46000000002</c:v>
                </c:pt>
                <c:pt idx="301">
                  <c:v>327080</c:v>
                </c:pt>
                <c:pt idx="302">
                  <c:v>336844.12</c:v>
                </c:pt>
                <c:pt idx="303">
                  <c:v>336844</c:v>
                </c:pt>
                <c:pt idx="304">
                  <c:v>300553.48</c:v>
                </c:pt>
                <c:pt idx="305">
                  <c:v>296887.5</c:v>
                </c:pt>
                <c:pt idx="306">
                  <c:v>297355.68</c:v>
                </c:pt>
                <c:pt idx="307">
                  <c:v>298760.68</c:v>
                </c:pt>
                <c:pt idx="308">
                  <c:v>279006.82</c:v>
                </c:pt>
                <c:pt idx="309">
                  <c:v>279007</c:v>
                </c:pt>
                <c:pt idx="310">
                  <c:v>279007</c:v>
                </c:pt>
                <c:pt idx="311">
                  <c:v>279112.07</c:v>
                </c:pt>
                <c:pt idx="312">
                  <c:v>279112</c:v>
                </c:pt>
                <c:pt idx="313">
                  <c:v>244682.12</c:v>
                </c:pt>
                <c:pt idx="314">
                  <c:v>249935.51</c:v>
                </c:pt>
                <c:pt idx="315">
                  <c:v>249936</c:v>
                </c:pt>
                <c:pt idx="316">
                  <c:v>253484.58</c:v>
                </c:pt>
                <c:pt idx="317">
                  <c:v>253738.75</c:v>
                </c:pt>
                <c:pt idx="318">
                  <c:v>255709.06</c:v>
                </c:pt>
                <c:pt idx="319">
                  <c:v>254131.52</c:v>
                </c:pt>
                <c:pt idx="320">
                  <c:v>254132</c:v>
                </c:pt>
                <c:pt idx="321">
                  <c:v>236522.46</c:v>
                </c:pt>
                <c:pt idx="322">
                  <c:v>236522</c:v>
                </c:pt>
                <c:pt idx="323">
                  <c:v>199489.86</c:v>
                </c:pt>
                <c:pt idx="324">
                  <c:v>199619.86</c:v>
                </c:pt>
                <c:pt idx="325">
                  <c:v>199620</c:v>
                </c:pt>
                <c:pt idx="326">
                  <c:v>210964.57</c:v>
                </c:pt>
                <c:pt idx="327">
                  <c:v>261389.72</c:v>
                </c:pt>
                <c:pt idx="328">
                  <c:v>260390</c:v>
                </c:pt>
                <c:pt idx="329">
                  <c:v>260390</c:v>
                </c:pt>
                <c:pt idx="330">
                  <c:v>260390</c:v>
                </c:pt>
                <c:pt idx="331">
                  <c:v>262384.21000000002</c:v>
                </c:pt>
                <c:pt idx="332">
                  <c:v>262384.21000000002</c:v>
                </c:pt>
                <c:pt idx="333">
                  <c:v>227560.99</c:v>
                </c:pt>
                <c:pt idx="334">
                  <c:v>227561</c:v>
                </c:pt>
                <c:pt idx="335">
                  <c:v>249322.04</c:v>
                </c:pt>
                <c:pt idx="336">
                  <c:v>256811.68</c:v>
                </c:pt>
                <c:pt idx="337">
                  <c:v>256883.07</c:v>
                </c:pt>
                <c:pt idx="338">
                  <c:v>256056.42</c:v>
                </c:pt>
                <c:pt idx="339">
                  <c:v>257214</c:v>
                </c:pt>
                <c:pt idx="340">
                  <c:v>257214</c:v>
                </c:pt>
                <c:pt idx="341">
                  <c:v>260076</c:v>
                </c:pt>
                <c:pt idx="342">
                  <c:v>339826</c:v>
                </c:pt>
                <c:pt idx="343">
                  <c:v>303183</c:v>
                </c:pt>
                <c:pt idx="344">
                  <c:v>322340</c:v>
                </c:pt>
                <c:pt idx="345">
                  <c:v>322340</c:v>
                </c:pt>
                <c:pt idx="346">
                  <c:v>308772.78999999998</c:v>
                </c:pt>
                <c:pt idx="347">
                  <c:v>317343.40999999997</c:v>
                </c:pt>
                <c:pt idx="348">
                  <c:v>317343</c:v>
                </c:pt>
                <c:pt idx="349">
                  <c:v>369152.35</c:v>
                </c:pt>
                <c:pt idx="350">
                  <c:v>371061.94</c:v>
                </c:pt>
                <c:pt idx="351">
                  <c:v>372080.87</c:v>
                </c:pt>
                <c:pt idx="352">
                  <c:v>372080.87</c:v>
                </c:pt>
                <c:pt idx="353">
                  <c:v>336189.47</c:v>
                </c:pt>
                <c:pt idx="354">
                  <c:v>340998.07</c:v>
                </c:pt>
                <c:pt idx="355">
                  <c:v>332763.65000000002</c:v>
                </c:pt>
                <c:pt idx="356">
                  <c:v>375651.45</c:v>
                </c:pt>
                <c:pt idx="357">
                  <c:v>378293.21</c:v>
                </c:pt>
                <c:pt idx="358">
                  <c:v>378293</c:v>
                </c:pt>
                <c:pt idx="359">
                  <c:v>401190.06</c:v>
                </c:pt>
                <c:pt idx="360">
                  <c:v>401190</c:v>
                </c:pt>
                <c:pt idx="361">
                  <c:v>401569.72</c:v>
                </c:pt>
                <c:pt idx="362">
                  <c:v>403837.72</c:v>
                </c:pt>
                <c:pt idx="363">
                  <c:v>369495.17</c:v>
                </c:pt>
                <c:pt idx="364">
                  <c:v>379169.06</c:v>
                </c:pt>
                <c:pt idx="365">
                  <c:v>379169</c:v>
                </c:pt>
                <c:pt idx="366">
                  <c:v>372540.41</c:v>
                </c:pt>
                <c:pt idx="367">
                  <c:v>372540</c:v>
                </c:pt>
                <c:pt idx="368">
                  <c:v>372540</c:v>
                </c:pt>
                <c:pt idx="369">
                  <c:v>374625.25</c:v>
                </c:pt>
                <c:pt idx="370">
                  <c:v>382658.46</c:v>
                </c:pt>
                <c:pt idx="371">
                  <c:v>389160.26</c:v>
                </c:pt>
                <c:pt idx="372">
                  <c:v>389160</c:v>
                </c:pt>
                <c:pt idx="373">
                  <c:v>389160</c:v>
                </c:pt>
                <c:pt idx="374">
                  <c:v>352908.42</c:v>
                </c:pt>
                <c:pt idx="375">
                  <c:v>383959.41</c:v>
                </c:pt>
                <c:pt idx="376">
                  <c:v>403148.81</c:v>
                </c:pt>
                <c:pt idx="377">
                  <c:v>403344.11</c:v>
                </c:pt>
                <c:pt idx="378">
                  <c:v>403344</c:v>
                </c:pt>
                <c:pt idx="379">
                  <c:v>403344</c:v>
                </c:pt>
                <c:pt idx="380">
                  <c:v>403344</c:v>
                </c:pt>
                <c:pt idx="381">
                  <c:v>399784.25</c:v>
                </c:pt>
                <c:pt idx="382">
                  <c:v>399902.41</c:v>
                </c:pt>
                <c:pt idx="383">
                  <c:v>364572.56</c:v>
                </c:pt>
                <c:pt idx="384">
                  <c:v>364573</c:v>
                </c:pt>
                <c:pt idx="385">
                  <c:v>371571.78</c:v>
                </c:pt>
                <c:pt idx="386">
                  <c:v>370527.3</c:v>
                </c:pt>
                <c:pt idx="387">
                  <c:v>389646.11</c:v>
                </c:pt>
                <c:pt idx="388">
                  <c:v>393013.02</c:v>
                </c:pt>
                <c:pt idx="389">
                  <c:v>393593.22</c:v>
                </c:pt>
                <c:pt idx="390">
                  <c:v>393593</c:v>
                </c:pt>
                <c:pt idx="391">
                  <c:v>385433.95</c:v>
                </c:pt>
                <c:pt idx="392">
                  <c:v>385678.15</c:v>
                </c:pt>
                <c:pt idx="393">
                  <c:v>350949.28</c:v>
                </c:pt>
                <c:pt idx="394">
                  <c:v>352010.98</c:v>
                </c:pt>
                <c:pt idx="395">
                  <c:v>352011</c:v>
                </c:pt>
                <c:pt idx="396">
                  <c:v>348679</c:v>
                </c:pt>
                <c:pt idx="397">
                  <c:v>348679</c:v>
                </c:pt>
                <c:pt idx="398">
                  <c:v>348679</c:v>
                </c:pt>
                <c:pt idx="399">
                  <c:v>348679</c:v>
                </c:pt>
                <c:pt idx="400">
                  <c:v>348761.24</c:v>
                </c:pt>
                <c:pt idx="401">
                  <c:v>349998.26</c:v>
                </c:pt>
                <c:pt idx="402">
                  <c:v>370561.14</c:v>
                </c:pt>
                <c:pt idx="403">
                  <c:v>336220.14</c:v>
                </c:pt>
                <c:pt idx="404">
                  <c:v>336332.14</c:v>
                </c:pt>
                <c:pt idx="405">
                  <c:v>336332</c:v>
                </c:pt>
                <c:pt idx="406">
                  <c:v>339185.02</c:v>
                </c:pt>
                <c:pt idx="407">
                  <c:v>344936.35</c:v>
                </c:pt>
                <c:pt idx="408">
                  <c:v>344564.68</c:v>
                </c:pt>
                <c:pt idx="409">
                  <c:v>344565</c:v>
                </c:pt>
                <c:pt idx="410">
                  <c:v>344829.18</c:v>
                </c:pt>
                <c:pt idx="411">
                  <c:v>339942.05</c:v>
                </c:pt>
                <c:pt idx="412">
                  <c:v>360185.72</c:v>
                </c:pt>
                <c:pt idx="413">
                  <c:v>323067.73</c:v>
                </c:pt>
                <c:pt idx="414">
                  <c:v>323197.73</c:v>
                </c:pt>
                <c:pt idx="415">
                  <c:v>323198</c:v>
                </c:pt>
                <c:pt idx="416">
                  <c:v>341044.7</c:v>
                </c:pt>
                <c:pt idx="417">
                  <c:v>341676.17</c:v>
                </c:pt>
                <c:pt idx="418">
                  <c:v>341676</c:v>
                </c:pt>
                <c:pt idx="419">
                  <c:v>341676</c:v>
                </c:pt>
                <c:pt idx="420">
                  <c:v>379863.97</c:v>
                </c:pt>
                <c:pt idx="421">
                  <c:v>378842.06</c:v>
                </c:pt>
                <c:pt idx="422">
                  <c:v>378842</c:v>
                </c:pt>
                <c:pt idx="423">
                  <c:v>340784.14</c:v>
                </c:pt>
                <c:pt idx="424">
                  <c:v>340784</c:v>
                </c:pt>
                <c:pt idx="425">
                  <c:v>340895.76</c:v>
                </c:pt>
                <c:pt idx="426">
                  <c:v>349266.8</c:v>
                </c:pt>
                <c:pt idx="427">
                  <c:v>349267</c:v>
                </c:pt>
                <c:pt idx="428">
                  <c:v>354264.44</c:v>
                </c:pt>
                <c:pt idx="429">
                  <c:v>354264</c:v>
                </c:pt>
                <c:pt idx="430">
                  <c:v>357804.55</c:v>
                </c:pt>
                <c:pt idx="431">
                  <c:v>357805</c:v>
                </c:pt>
                <c:pt idx="432">
                  <c:v>361119.05</c:v>
                </c:pt>
                <c:pt idx="433">
                  <c:v>318415.71000000002</c:v>
                </c:pt>
                <c:pt idx="434">
                  <c:v>320237.53999999998</c:v>
                </c:pt>
                <c:pt idx="435">
                  <c:v>320237.53999999998</c:v>
                </c:pt>
                <c:pt idx="436">
                  <c:v>325286.46999999997</c:v>
                </c:pt>
                <c:pt idx="437">
                  <c:v>334247.03000000003</c:v>
                </c:pt>
                <c:pt idx="438">
                  <c:v>334247</c:v>
                </c:pt>
                <c:pt idx="439">
                  <c:v>334247.03000000003</c:v>
                </c:pt>
                <c:pt idx="440">
                  <c:v>334247</c:v>
                </c:pt>
                <c:pt idx="441">
                  <c:v>323171.46000000002</c:v>
                </c:pt>
                <c:pt idx="442">
                  <c:v>324229.90999999997</c:v>
                </c:pt>
                <c:pt idx="443">
                  <c:v>324230</c:v>
                </c:pt>
                <c:pt idx="444">
                  <c:v>286030.39</c:v>
                </c:pt>
                <c:pt idx="445">
                  <c:v>286197.44</c:v>
                </c:pt>
                <c:pt idx="446">
                  <c:v>280065.2</c:v>
                </c:pt>
                <c:pt idx="447">
                  <c:v>284409.09999999998</c:v>
                </c:pt>
                <c:pt idx="448">
                  <c:v>285119.09999999998</c:v>
                </c:pt>
                <c:pt idx="449">
                  <c:v>285395.49</c:v>
                </c:pt>
                <c:pt idx="450">
                  <c:v>285395</c:v>
                </c:pt>
                <c:pt idx="451">
                  <c:v>285542.49</c:v>
                </c:pt>
                <c:pt idx="452">
                  <c:v>285542</c:v>
                </c:pt>
                <c:pt idx="453">
                  <c:v>285542</c:v>
                </c:pt>
                <c:pt idx="454">
                  <c:v>248584.72</c:v>
                </c:pt>
                <c:pt idx="455">
                  <c:v>248585</c:v>
                </c:pt>
                <c:pt idx="456">
                  <c:v>270685.83</c:v>
                </c:pt>
                <c:pt idx="457">
                  <c:v>282558.58</c:v>
                </c:pt>
                <c:pt idx="458">
                  <c:v>282559</c:v>
                </c:pt>
                <c:pt idx="459">
                  <c:v>282559</c:v>
                </c:pt>
                <c:pt idx="460">
                  <c:v>282559</c:v>
                </c:pt>
                <c:pt idx="461">
                  <c:v>283213.14</c:v>
                </c:pt>
                <c:pt idx="462">
                  <c:v>297779.06</c:v>
                </c:pt>
                <c:pt idx="463">
                  <c:v>263886.2</c:v>
                </c:pt>
                <c:pt idx="464">
                  <c:v>277030.96999999997</c:v>
                </c:pt>
                <c:pt idx="465">
                  <c:v>277031</c:v>
                </c:pt>
                <c:pt idx="466">
                  <c:v>281394.14</c:v>
                </c:pt>
                <c:pt idx="467">
                  <c:v>281470.18</c:v>
                </c:pt>
                <c:pt idx="468">
                  <c:v>281470</c:v>
                </c:pt>
                <c:pt idx="469">
                  <c:v>284325.94</c:v>
                </c:pt>
                <c:pt idx="470">
                  <c:v>305911.78000000003</c:v>
                </c:pt>
                <c:pt idx="471">
                  <c:v>305752.93</c:v>
                </c:pt>
                <c:pt idx="472">
                  <c:v>332730.14</c:v>
                </c:pt>
                <c:pt idx="473">
                  <c:v>291419.49</c:v>
                </c:pt>
                <c:pt idx="474">
                  <c:v>293419.65000000002</c:v>
                </c:pt>
                <c:pt idx="475">
                  <c:v>293420</c:v>
                </c:pt>
                <c:pt idx="476">
                  <c:v>301331.82</c:v>
                </c:pt>
                <c:pt idx="477">
                  <c:v>327084.28999999998</c:v>
                </c:pt>
                <c:pt idx="478">
                  <c:v>327084</c:v>
                </c:pt>
                <c:pt idx="479">
                  <c:v>327084</c:v>
                </c:pt>
                <c:pt idx="480">
                  <c:v>337130.63</c:v>
                </c:pt>
                <c:pt idx="481">
                  <c:v>334292.59999999998</c:v>
                </c:pt>
                <c:pt idx="482">
                  <c:v>335977.23</c:v>
                </c:pt>
                <c:pt idx="483">
                  <c:v>300614.99</c:v>
                </c:pt>
                <c:pt idx="484">
                  <c:v>295509.53999999998</c:v>
                </c:pt>
                <c:pt idx="485">
                  <c:v>295510</c:v>
                </c:pt>
                <c:pt idx="486">
                  <c:v>295623.09999999998</c:v>
                </c:pt>
                <c:pt idx="487">
                  <c:v>295623</c:v>
                </c:pt>
                <c:pt idx="488">
                  <c:v>299232.09999999998</c:v>
                </c:pt>
                <c:pt idx="489">
                  <c:v>304422.01</c:v>
                </c:pt>
                <c:pt idx="490">
                  <c:v>330191.24</c:v>
                </c:pt>
                <c:pt idx="491">
                  <c:v>313471.64</c:v>
                </c:pt>
                <c:pt idx="492">
                  <c:v>313472</c:v>
                </c:pt>
                <c:pt idx="493">
                  <c:v>313472</c:v>
                </c:pt>
                <c:pt idx="494">
                  <c:v>277471.58</c:v>
                </c:pt>
                <c:pt idx="495">
                  <c:v>287526.92</c:v>
                </c:pt>
                <c:pt idx="496">
                  <c:v>296486.64</c:v>
                </c:pt>
                <c:pt idx="497">
                  <c:v>296487</c:v>
                </c:pt>
                <c:pt idx="498">
                  <c:v>296487</c:v>
                </c:pt>
                <c:pt idx="499">
                  <c:v>335911.5</c:v>
                </c:pt>
                <c:pt idx="500">
                  <c:v>335912</c:v>
                </c:pt>
                <c:pt idx="501">
                  <c:v>330042.21999999997</c:v>
                </c:pt>
                <c:pt idx="502">
                  <c:v>367034.5</c:v>
                </c:pt>
                <c:pt idx="503">
                  <c:v>330990.42</c:v>
                </c:pt>
                <c:pt idx="504">
                  <c:v>333065.89</c:v>
                </c:pt>
                <c:pt idx="505">
                  <c:v>331065.89</c:v>
                </c:pt>
                <c:pt idx="506">
                  <c:v>331092.17</c:v>
                </c:pt>
                <c:pt idx="507">
                  <c:v>311733.17</c:v>
                </c:pt>
                <c:pt idx="508">
                  <c:v>317116.19</c:v>
                </c:pt>
                <c:pt idx="509">
                  <c:v>317116</c:v>
                </c:pt>
                <c:pt idx="510">
                  <c:v>317496.19</c:v>
                </c:pt>
                <c:pt idx="511">
                  <c:v>317772.45</c:v>
                </c:pt>
                <c:pt idx="512">
                  <c:v>317772</c:v>
                </c:pt>
                <c:pt idx="513">
                  <c:v>279446.55</c:v>
                </c:pt>
                <c:pt idx="514">
                  <c:v>272785.62</c:v>
                </c:pt>
                <c:pt idx="515">
                  <c:v>288240.15999999997</c:v>
                </c:pt>
                <c:pt idx="516">
                  <c:v>278742.74</c:v>
                </c:pt>
                <c:pt idx="517">
                  <c:v>278840.24</c:v>
                </c:pt>
                <c:pt idx="518">
                  <c:v>278942.24</c:v>
                </c:pt>
                <c:pt idx="519">
                  <c:v>257048.49</c:v>
                </c:pt>
                <c:pt idx="520">
                  <c:v>252662.47</c:v>
                </c:pt>
                <c:pt idx="521">
                  <c:v>254708.73</c:v>
                </c:pt>
                <c:pt idx="522">
                  <c:v>281702.86</c:v>
                </c:pt>
                <c:pt idx="523">
                  <c:v>244220.77</c:v>
                </c:pt>
                <c:pt idx="524">
                  <c:v>244221</c:v>
                </c:pt>
                <c:pt idx="525">
                  <c:v>244221</c:v>
                </c:pt>
                <c:pt idx="526">
                  <c:v>225503.87</c:v>
                </c:pt>
                <c:pt idx="527">
                  <c:v>225504</c:v>
                </c:pt>
                <c:pt idx="528">
                  <c:v>225503.8</c:v>
                </c:pt>
                <c:pt idx="529">
                  <c:v>227389.96</c:v>
                </c:pt>
                <c:pt idx="530">
                  <c:v>235472.53</c:v>
                </c:pt>
                <c:pt idx="531">
                  <c:v>222207.84</c:v>
                </c:pt>
                <c:pt idx="532">
                  <c:v>222287.93</c:v>
                </c:pt>
                <c:pt idx="533">
                  <c:v>186664.28</c:v>
                </c:pt>
                <c:pt idx="534">
                  <c:v>188484.95</c:v>
                </c:pt>
                <c:pt idx="535">
                  <c:v>188485</c:v>
                </c:pt>
                <c:pt idx="536">
                  <c:v>180474.73</c:v>
                </c:pt>
                <c:pt idx="537">
                  <c:v>188207.38</c:v>
                </c:pt>
                <c:pt idx="538">
                  <c:v>198618.83</c:v>
                </c:pt>
                <c:pt idx="539">
                  <c:v>198619</c:v>
                </c:pt>
                <c:pt idx="540">
                  <c:v>198619</c:v>
                </c:pt>
                <c:pt idx="541">
                  <c:v>189089.55</c:v>
                </c:pt>
                <c:pt idx="542">
                  <c:v>216053.77</c:v>
                </c:pt>
                <c:pt idx="543">
                  <c:v>179849.52</c:v>
                </c:pt>
                <c:pt idx="544">
                  <c:v>179850</c:v>
                </c:pt>
                <c:pt idx="545">
                  <c:v>173749.01</c:v>
                </c:pt>
                <c:pt idx="546">
                  <c:v>200792.85</c:v>
                </c:pt>
                <c:pt idx="547">
                  <c:v>202331.91</c:v>
                </c:pt>
                <c:pt idx="548">
                  <c:v>203517.87</c:v>
                </c:pt>
                <c:pt idx="549">
                  <c:v>203518</c:v>
                </c:pt>
                <c:pt idx="550">
                  <c:v>203518</c:v>
                </c:pt>
                <c:pt idx="551">
                  <c:v>191114.58</c:v>
                </c:pt>
                <c:pt idx="552">
                  <c:v>153114.57999999999</c:v>
                </c:pt>
                <c:pt idx="553">
                  <c:v>153115</c:v>
                </c:pt>
                <c:pt idx="554">
                  <c:v>182792.08</c:v>
                </c:pt>
                <c:pt idx="555">
                  <c:v>182792</c:v>
                </c:pt>
                <c:pt idx="556">
                  <c:v>222152.66</c:v>
                </c:pt>
                <c:pt idx="557">
                  <c:v>222153</c:v>
                </c:pt>
                <c:pt idx="558">
                  <c:v>222153</c:v>
                </c:pt>
                <c:pt idx="559">
                  <c:v>222153</c:v>
                </c:pt>
                <c:pt idx="560">
                  <c:v>222152</c:v>
                </c:pt>
                <c:pt idx="561">
                  <c:v>211720.43</c:v>
                </c:pt>
                <c:pt idx="562">
                  <c:v>211720</c:v>
                </c:pt>
                <c:pt idx="563">
                  <c:v>211720</c:v>
                </c:pt>
                <c:pt idx="564">
                  <c:v>176327.95</c:v>
                </c:pt>
                <c:pt idx="565">
                  <c:v>176328</c:v>
                </c:pt>
                <c:pt idx="566">
                  <c:v>169004.5</c:v>
                </c:pt>
                <c:pt idx="567">
                  <c:v>261992.26</c:v>
                </c:pt>
                <c:pt idx="568">
                  <c:v>270521.09000000003</c:v>
                </c:pt>
                <c:pt idx="569">
                  <c:v>285365.09000000003</c:v>
                </c:pt>
                <c:pt idx="570">
                  <c:v>285365</c:v>
                </c:pt>
                <c:pt idx="571">
                  <c:v>287246.65999999997</c:v>
                </c:pt>
                <c:pt idx="572">
                  <c:v>287247</c:v>
                </c:pt>
                <c:pt idx="573">
                  <c:v>287247</c:v>
                </c:pt>
                <c:pt idx="574">
                  <c:v>253042.79</c:v>
                </c:pt>
                <c:pt idx="575">
                  <c:v>253043</c:v>
                </c:pt>
                <c:pt idx="576">
                  <c:v>246521.36</c:v>
                </c:pt>
                <c:pt idx="577">
                  <c:v>246593.56</c:v>
                </c:pt>
                <c:pt idx="578">
                  <c:v>246594</c:v>
                </c:pt>
                <c:pt idx="579">
                  <c:v>246594</c:v>
                </c:pt>
                <c:pt idx="580">
                  <c:v>246594</c:v>
                </c:pt>
                <c:pt idx="581">
                  <c:v>228395.48</c:v>
                </c:pt>
                <c:pt idx="582">
                  <c:v>228395</c:v>
                </c:pt>
                <c:pt idx="583">
                  <c:v>192627.9</c:v>
                </c:pt>
                <c:pt idx="584">
                  <c:v>192628</c:v>
                </c:pt>
                <c:pt idx="585">
                  <c:v>192628</c:v>
                </c:pt>
                <c:pt idx="586">
                  <c:v>193904.61</c:v>
                </c:pt>
                <c:pt idx="587">
                  <c:v>195328.48</c:v>
                </c:pt>
                <c:pt idx="588">
                  <c:v>199304.09</c:v>
                </c:pt>
                <c:pt idx="589">
                  <c:v>201071.11</c:v>
                </c:pt>
                <c:pt idx="590">
                  <c:v>201071</c:v>
                </c:pt>
                <c:pt idx="591">
                  <c:v>223298.16</c:v>
                </c:pt>
                <c:pt idx="592">
                  <c:v>238962.66</c:v>
                </c:pt>
                <c:pt idx="593">
                  <c:v>203086.22</c:v>
                </c:pt>
                <c:pt idx="594">
                  <c:v>226930.31</c:v>
                </c:pt>
                <c:pt idx="595">
                  <c:v>226930</c:v>
                </c:pt>
                <c:pt idx="596">
                  <c:v>220822.05</c:v>
                </c:pt>
                <c:pt idx="597">
                  <c:v>220883.3</c:v>
                </c:pt>
                <c:pt idx="598">
                  <c:v>220986</c:v>
                </c:pt>
                <c:pt idx="599">
                  <c:v>220986</c:v>
                </c:pt>
                <c:pt idx="600">
                  <c:v>197995.27</c:v>
                </c:pt>
                <c:pt idx="601">
                  <c:v>202931.61</c:v>
                </c:pt>
                <c:pt idx="602">
                  <c:v>202932</c:v>
                </c:pt>
                <c:pt idx="603">
                  <c:v>167839.6</c:v>
                </c:pt>
                <c:pt idx="604">
                  <c:v>167840</c:v>
                </c:pt>
                <c:pt idx="605">
                  <c:v>167840</c:v>
                </c:pt>
                <c:pt idx="606">
                  <c:v>180485.58</c:v>
                </c:pt>
                <c:pt idx="607">
                  <c:v>205676.09</c:v>
                </c:pt>
                <c:pt idx="608">
                  <c:v>199229.46</c:v>
                </c:pt>
                <c:pt idx="609">
                  <c:v>199612.46</c:v>
                </c:pt>
                <c:pt idx="610">
                  <c:v>327321.84000000003</c:v>
                </c:pt>
                <c:pt idx="611">
                  <c:v>328551.67</c:v>
                </c:pt>
                <c:pt idx="612">
                  <c:v>328552</c:v>
                </c:pt>
                <c:pt idx="613">
                  <c:v>293600.95</c:v>
                </c:pt>
                <c:pt idx="614">
                  <c:v>298153.56</c:v>
                </c:pt>
                <c:pt idx="615">
                  <c:v>298154</c:v>
                </c:pt>
                <c:pt idx="616">
                  <c:v>294180.65999999997</c:v>
                </c:pt>
                <c:pt idx="617">
                  <c:v>294181</c:v>
                </c:pt>
                <c:pt idx="618">
                  <c:v>294679.65999999997</c:v>
                </c:pt>
                <c:pt idx="619">
                  <c:v>294680</c:v>
                </c:pt>
                <c:pt idx="620">
                  <c:v>294761.65000000002</c:v>
                </c:pt>
                <c:pt idx="621">
                  <c:v>290632.52</c:v>
                </c:pt>
                <c:pt idx="622">
                  <c:v>290633</c:v>
                </c:pt>
                <c:pt idx="623">
                  <c:v>254427.11</c:v>
                </c:pt>
                <c:pt idx="624">
                  <c:v>255823.93</c:v>
                </c:pt>
                <c:pt idx="625">
                  <c:v>255419.13</c:v>
                </c:pt>
                <c:pt idx="626">
                  <c:v>272759.37</c:v>
                </c:pt>
                <c:pt idx="627">
                  <c:v>272846.37</c:v>
                </c:pt>
                <c:pt idx="628">
                  <c:v>272846</c:v>
                </c:pt>
                <c:pt idx="629">
                  <c:v>272846</c:v>
                </c:pt>
                <c:pt idx="630">
                  <c:v>276622.58</c:v>
                </c:pt>
                <c:pt idx="631">
                  <c:v>276623</c:v>
                </c:pt>
                <c:pt idx="632">
                  <c:v>276773.33</c:v>
                </c:pt>
                <c:pt idx="633">
                  <c:v>276773</c:v>
                </c:pt>
                <c:pt idx="634">
                  <c:v>240090.56</c:v>
                </c:pt>
                <c:pt idx="635">
                  <c:v>240091</c:v>
                </c:pt>
                <c:pt idx="636">
                  <c:v>237779.31</c:v>
                </c:pt>
                <c:pt idx="637">
                  <c:v>237779</c:v>
                </c:pt>
                <c:pt idx="638">
                  <c:v>243552.34</c:v>
                </c:pt>
                <c:pt idx="639">
                  <c:v>243552</c:v>
                </c:pt>
                <c:pt idx="640">
                  <c:v>243552</c:v>
                </c:pt>
                <c:pt idx="641">
                  <c:v>266009.96000000002</c:v>
                </c:pt>
                <c:pt idx="642">
                  <c:v>266087.59999999998</c:v>
                </c:pt>
                <c:pt idx="643">
                  <c:v>229939.6</c:v>
                </c:pt>
                <c:pt idx="644">
                  <c:v>229940</c:v>
                </c:pt>
                <c:pt idx="645">
                  <c:v>229940</c:v>
                </c:pt>
                <c:pt idx="646">
                  <c:v>226983.82</c:v>
                </c:pt>
                <c:pt idx="647">
                  <c:v>226983.82</c:v>
                </c:pt>
                <c:pt idx="648">
                  <c:v>231167.41</c:v>
                </c:pt>
                <c:pt idx="649">
                  <c:v>231298.26</c:v>
                </c:pt>
                <c:pt idx="650">
                  <c:v>231298</c:v>
                </c:pt>
                <c:pt idx="651">
                  <c:v>218195.44</c:v>
                </c:pt>
                <c:pt idx="652">
                  <c:v>218195</c:v>
                </c:pt>
                <c:pt idx="653">
                  <c:v>181738.47</c:v>
                </c:pt>
                <c:pt idx="654">
                  <c:v>175674.86</c:v>
                </c:pt>
                <c:pt idx="655">
                  <c:v>175890.11</c:v>
                </c:pt>
                <c:pt idx="656">
                  <c:v>176908.84</c:v>
                </c:pt>
                <c:pt idx="657">
                  <c:v>176909</c:v>
                </c:pt>
                <c:pt idx="658">
                  <c:v>176909</c:v>
                </c:pt>
                <c:pt idx="659">
                  <c:v>226038.22</c:v>
                </c:pt>
                <c:pt idx="660">
                  <c:v>226038</c:v>
                </c:pt>
                <c:pt idx="661">
                  <c:v>223293.31</c:v>
                </c:pt>
                <c:pt idx="662">
                  <c:v>272327.27</c:v>
                </c:pt>
                <c:pt idx="663">
                  <c:v>236397.34</c:v>
                </c:pt>
                <c:pt idx="664">
                  <c:v>236553.84</c:v>
                </c:pt>
                <c:pt idx="665">
                  <c:v>249133.92</c:v>
                </c:pt>
                <c:pt idx="666">
                  <c:v>254043.68</c:v>
                </c:pt>
                <c:pt idx="667">
                  <c:v>254064.5</c:v>
                </c:pt>
                <c:pt idx="668">
                  <c:v>290142.09999999998</c:v>
                </c:pt>
                <c:pt idx="669">
                  <c:v>290142</c:v>
                </c:pt>
                <c:pt idx="670">
                  <c:v>290034.38</c:v>
                </c:pt>
                <c:pt idx="671">
                  <c:v>291747.36</c:v>
                </c:pt>
                <c:pt idx="672">
                  <c:v>306637.48</c:v>
                </c:pt>
                <c:pt idx="673">
                  <c:v>270401.28999999998</c:v>
                </c:pt>
                <c:pt idx="674">
                  <c:v>278028.58</c:v>
                </c:pt>
                <c:pt idx="675">
                  <c:v>278029</c:v>
                </c:pt>
                <c:pt idx="676">
                  <c:v>279523.53000000003</c:v>
                </c:pt>
                <c:pt idx="677">
                  <c:v>303100.06</c:v>
                </c:pt>
                <c:pt idx="678">
                  <c:v>303100.06</c:v>
                </c:pt>
                <c:pt idx="679">
                  <c:v>303100.06</c:v>
                </c:pt>
                <c:pt idx="680">
                  <c:v>303954.14</c:v>
                </c:pt>
                <c:pt idx="681">
                  <c:v>294843.14</c:v>
                </c:pt>
                <c:pt idx="682">
                  <c:v>294843</c:v>
                </c:pt>
                <c:pt idx="683">
                  <c:v>294843</c:v>
                </c:pt>
                <c:pt idx="684">
                  <c:v>294843</c:v>
                </c:pt>
                <c:pt idx="685">
                  <c:v>259514.47</c:v>
                </c:pt>
                <c:pt idx="686">
                  <c:v>255987.45</c:v>
                </c:pt>
                <c:pt idx="687">
                  <c:v>255987.45</c:v>
                </c:pt>
                <c:pt idx="688">
                  <c:v>255987.45</c:v>
                </c:pt>
                <c:pt idx="689">
                  <c:v>254650.75</c:v>
                </c:pt>
                <c:pt idx="690">
                  <c:v>298403.21000000002</c:v>
                </c:pt>
                <c:pt idx="691">
                  <c:v>300529.64</c:v>
                </c:pt>
                <c:pt idx="692">
                  <c:v>300229.64</c:v>
                </c:pt>
                <c:pt idx="693">
                  <c:v>300230</c:v>
                </c:pt>
                <c:pt idx="694">
                  <c:v>267674.82</c:v>
                </c:pt>
                <c:pt idx="695">
                  <c:v>273448.82</c:v>
                </c:pt>
                <c:pt idx="696">
                  <c:v>252527.09</c:v>
                </c:pt>
                <c:pt idx="697">
                  <c:v>321968.59000000003</c:v>
                </c:pt>
                <c:pt idx="698">
                  <c:v>321969</c:v>
                </c:pt>
                <c:pt idx="699">
                  <c:v>321969</c:v>
                </c:pt>
                <c:pt idx="700">
                  <c:v>321969</c:v>
                </c:pt>
                <c:pt idx="701">
                  <c:v>314251.55</c:v>
                </c:pt>
                <c:pt idx="702">
                  <c:v>315739.42</c:v>
                </c:pt>
                <c:pt idx="703">
                  <c:v>315739</c:v>
                </c:pt>
                <c:pt idx="704">
                  <c:v>275506.94</c:v>
                </c:pt>
                <c:pt idx="705">
                  <c:v>275507</c:v>
                </c:pt>
                <c:pt idx="706">
                  <c:v>289896.89</c:v>
                </c:pt>
                <c:pt idx="707">
                  <c:v>313281.34999999998</c:v>
                </c:pt>
                <c:pt idx="708">
                  <c:v>313281</c:v>
                </c:pt>
                <c:pt idx="709">
                  <c:v>317556.84999999998</c:v>
                </c:pt>
                <c:pt idx="710">
                  <c:v>317557</c:v>
                </c:pt>
                <c:pt idx="711">
                  <c:v>297159.33</c:v>
                </c:pt>
                <c:pt idx="712">
                  <c:v>297159</c:v>
                </c:pt>
                <c:pt idx="713">
                  <c:v>260233.37</c:v>
                </c:pt>
                <c:pt idx="714">
                  <c:v>260233</c:v>
                </c:pt>
                <c:pt idx="715">
                  <c:v>261845.78</c:v>
                </c:pt>
                <c:pt idx="716">
                  <c:v>261846</c:v>
                </c:pt>
                <c:pt idx="717">
                  <c:v>273805.40000000002</c:v>
                </c:pt>
                <c:pt idx="718">
                  <c:v>274104.40000000002</c:v>
                </c:pt>
                <c:pt idx="719">
                  <c:v>274101</c:v>
                </c:pt>
                <c:pt idx="720">
                  <c:v>299108.40000000002</c:v>
                </c:pt>
                <c:pt idx="721">
                  <c:v>298070.78000000003</c:v>
                </c:pt>
                <c:pt idx="722">
                  <c:v>298071</c:v>
                </c:pt>
                <c:pt idx="723">
                  <c:v>298430.78000000003</c:v>
                </c:pt>
                <c:pt idx="724">
                  <c:v>264835.63</c:v>
                </c:pt>
                <c:pt idx="725">
                  <c:v>303664.65999999997</c:v>
                </c:pt>
                <c:pt idx="726">
                  <c:v>299790.71999999997</c:v>
                </c:pt>
                <c:pt idx="727">
                  <c:v>309881.71999999997</c:v>
                </c:pt>
                <c:pt idx="728">
                  <c:v>284374.78999999998</c:v>
                </c:pt>
                <c:pt idx="729">
                  <c:v>284494.75</c:v>
                </c:pt>
                <c:pt idx="730">
                  <c:v>277370.03000000003</c:v>
                </c:pt>
                <c:pt idx="731">
                  <c:v>266103.65999999997</c:v>
                </c:pt>
                <c:pt idx="732">
                  <c:v>266189.65999999997</c:v>
                </c:pt>
                <c:pt idx="733">
                  <c:v>266190</c:v>
                </c:pt>
                <c:pt idx="734">
                  <c:v>228832.05</c:v>
                </c:pt>
                <c:pt idx="735">
                  <c:v>229285.41</c:v>
                </c:pt>
                <c:pt idx="736">
                  <c:v>236709.42</c:v>
                </c:pt>
                <c:pt idx="737">
                  <c:v>236709</c:v>
                </c:pt>
                <c:pt idx="738">
                  <c:v>236400.88</c:v>
                </c:pt>
                <c:pt idx="739">
                  <c:v>236401</c:v>
                </c:pt>
                <c:pt idx="740">
                  <c:v>236401</c:v>
                </c:pt>
                <c:pt idx="741">
                  <c:v>237605.71</c:v>
                </c:pt>
                <c:pt idx="742">
                  <c:v>237728.71</c:v>
                </c:pt>
                <c:pt idx="743">
                  <c:v>201980</c:v>
                </c:pt>
                <c:pt idx="744">
                  <c:v>225615.34</c:v>
                </c:pt>
                <c:pt idx="745">
                  <c:v>225615</c:v>
                </c:pt>
                <c:pt idx="746">
                  <c:v>219151.3</c:v>
                </c:pt>
                <c:pt idx="747">
                  <c:v>219351.3</c:v>
                </c:pt>
                <c:pt idx="748">
                  <c:v>219351</c:v>
                </c:pt>
                <c:pt idx="749">
                  <c:v>219351</c:v>
                </c:pt>
                <c:pt idx="750">
                  <c:v>219351</c:v>
                </c:pt>
                <c:pt idx="751">
                  <c:v>206758.66</c:v>
                </c:pt>
                <c:pt idx="752">
                  <c:v>234837.55</c:v>
                </c:pt>
                <c:pt idx="753">
                  <c:v>234838</c:v>
                </c:pt>
                <c:pt idx="754">
                  <c:v>199113.26</c:v>
                </c:pt>
                <c:pt idx="755">
                  <c:v>199113</c:v>
                </c:pt>
                <c:pt idx="756">
                  <c:v>205400.17</c:v>
                </c:pt>
                <c:pt idx="757">
                  <c:v>220161.91</c:v>
                </c:pt>
                <c:pt idx="758">
                  <c:v>220161.91</c:v>
                </c:pt>
                <c:pt idx="759">
                  <c:v>220161.91</c:v>
                </c:pt>
                <c:pt idx="760">
                  <c:v>220161.91</c:v>
                </c:pt>
                <c:pt idx="761">
                  <c:v>224635.26</c:v>
                </c:pt>
                <c:pt idx="762">
                  <c:v>298900.61</c:v>
                </c:pt>
                <c:pt idx="763">
                  <c:v>262246.8</c:v>
                </c:pt>
                <c:pt idx="764">
                  <c:v>262247</c:v>
                </c:pt>
                <c:pt idx="765">
                  <c:v>262247</c:v>
                </c:pt>
                <c:pt idx="766">
                  <c:v>275395.15000000002</c:v>
                </c:pt>
                <c:pt idx="767">
                  <c:v>275395</c:v>
                </c:pt>
                <c:pt idx="768">
                  <c:v>275395</c:v>
                </c:pt>
                <c:pt idx="769">
                  <c:v>275395</c:v>
                </c:pt>
                <c:pt idx="770">
                  <c:v>316802.46999999997</c:v>
                </c:pt>
                <c:pt idx="771">
                  <c:v>297067.40000000002</c:v>
                </c:pt>
                <c:pt idx="772">
                  <c:v>300574.83</c:v>
                </c:pt>
                <c:pt idx="773">
                  <c:v>264695.24</c:v>
                </c:pt>
                <c:pt idx="774">
                  <c:v>264695</c:v>
                </c:pt>
                <c:pt idx="775">
                  <c:v>264695</c:v>
                </c:pt>
                <c:pt idx="776">
                  <c:v>282838.67</c:v>
                </c:pt>
                <c:pt idx="777">
                  <c:v>282839</c:v>
                </c:pt>
                <c:pt idx="778">
                  <c:v>333807.26</c:v>
                </c:pt>
                <c:pt idx="779">
                  <c:v>332295.96000000002</c:v>
                </c:pt>
                <c:pt idx="780">
                  <c:v>325401.01</c:v>
                </c:pt>
                <c:pt idx="781">
                  <c:v>328793.55</c:v>
                </c:pt>
                <c:pt idx="782">
                  <c:v>329088.55</c:v>
                </c:pt>
                <c:pt idx="783">
                  <c:v>328488.55</c:v>
                </c:pt>
                <c:pt idx="784">
                  <c:v>292528.71999999997</c:v>
                </c:pt>
                <c:pt idx="785">
                  <c:v>294672.43</c:v>
                </c:pt>
                <c:pt idx="786">
                  <c:v>292850.33</c:v>
                </c:pt>
                <c:pt idx="787">
                  <c:v>284702.78999999998</c:v>
                </c:pt>
                <c:pt idx="788">
                  <c:v>284703</c:v>
                </c:pt>
                <c:pt idx="789">
                  <c:v>284775.52</c:v>
                </c:pt>
                <c:pt idx="790">
                  <c:v>284776</c:v>
                </c:pt>
                <c:pt idx="791">
                  <c:v>277335.02</c:v>
                </c:pt>
                <c:pt idx="792">
                  <c:v>277335</c:v>
                </c:pt>
                <c:pt idx="793">
                  <c:v>277462.90999999997</c:v>
                </c:pt>
                <c:pt idx="794">
                  <c:v>241180.07</c:v>
                </c:pt>
                <c:pt idx="795">
                  <c:v>257634.61</c:v>
                </c:pt>
                <c:pt idx="796">
                  <c:v>241154.55</c:v>
                </c:pt>
                <c:pt idx="797">
                  <c:v>243162.78</c:v>
                </c:pt>
                <c:pt idx="798">
                  <c:v>243003.93</c:v>
                </c:pt>
                <c:pt idx="799">
                  <c:v>243004</c:v>
                </c:pt>
                <c:pt idx="800">
                  <c:v>243060.55</c:v>
                </c:pt>
                <c:pt idx="801">
                  <c:v>245074.5</c:v>
                </c:pt>
                <c:pt idx="802">
                  <c:v>274493.84000000003</c:v>
                </c:pt>
                <c:pt idx="803">
                  <c:v>274494</c:v>
                </c:pt>
                <c:pt idx="804">
                  <c:v>268536.75</c:v>
                </c:pt>
                <c:pt idx="805">
                  <c:v>249086.1</c:v>
                </c:pt>
                <c:pt idx="806">
                  <c:v>253347.36</c:v>
                </c:pt>
                <c:pt idx="807">
                  <c:v>253347</c:v>
                </c:pt>
                <c:pt idx="808">
                  <c:v>253347</c:v>
                </c:pt>
                <c:pt idx="809">
                  <c:v>253347</c:v>
                </c:pt>
                <c:pt idx="810">
                  <c:v>253347</c:v>
                </c:pt>
                <c:pt idx="811">
                  <c:v>256363.47</c:v>
                </c:pt>
                <c:pt idx="812">
                  <c:v>256363</c:v>
                </c:pt>
                <c:pt idx="813">
                  <c:v>256363</c:v>
                </c:pt>
                <c:pt idx="814">
                  <c:v>220671.47</c:v>
                </c:pt>
                <c:pt idx="815">
                  <c:v>248680.89</c:v>
                </c:pt>
                <c:pt idx="816">
                  <c:v>254567.98</c:v>
                </c:pt>
                <c:pt idx="817">
                  <c:v>310563.12</c:v>
                </c:pt>
                <c:pt idx="818">
                  <c:v>310000.12</c:v>
                </c:pt>
                <c:pt idx="819">
                  <c:v>310000.12</c:v>
                </c:pt>
                <c:pt idx="820">
                  <c:v>310000.12</c:v>
                </c:pt>
                <c:pt idx="821">
                  <c:v>300109.28999999998</c:v>
                </c:pt>
                <c:pt idx="822">
                  <c:v>297396.90999999997</c:v>
                </c:pt>
                <c:pt idx="823">
                  <c:v>297397</c:v>
                </c:pt>
                <c:pt idx="824">
                  <c:v>309520.18</c:v>
                </c:pt>
                <c:pt idx="825">
                  <c:v>309520</c:v>
                </c:pt>
                <c:pt idx="826">
                  <c:v>306153.90000000002</c:v>
                </c:pt>
                <c:pt idx="827">
                  <c:v>307621.78000000003</c:v>
                </c:pt>
                <c:pt idx="828">
                  <c:v>307288.12</c:v>
                </c:pt>
                <c:pt idx="829">
                  <c:v>307288</c:v>
                </c:pt>
                <c:pt idx="830">
                  <c:v>307288</c:v>
                </c:pt>
                <c:pt idx="831">
                  <c:v>296580.19</c:v>
                </c:pt>
                <c:pt idx="832">
                  <c:v>295981.95</c:v>
                </c:pt>
                <c:pt idx="833">
                  <c:v>260513.06</c:v>
                </c:pt>
                <c:pt idx="834">
                  <c:v>260513</c:v>
                </c:pt>
                <c:pt idx="835">
                  <c:v>260513</c:v>
                </c:pt>
                <c:pt idx="836">
                  <c:v>255966.98</c:v>
                </c:pt>
                <c:pt idx="837">
                  <c:v>257507.94</c:v>
                </c:pt>
                <c:pt idx="838">
                  <c:v>257508</c:v>
                </c:pt>
                <c:pt idx="839">
                  <c:v>257508</c:v>
                </c:pt>
                <c:pt idx="840">
                  <c:v>257508</c:v>
                </c:pt>
                <c:pt idx="841">
                  <c:v>245601.94</c:v>
                </c:pt>
                <c:pt idx="842">
                  <c:v>245768.94</c:v>
                </c:pt>
                <c:pt idx="843">
                  <c:v>245769</c:v>
                </c:pt>
                <c:pt idx="844">
                  <c:v>209143.06</c:v>
                </c:pt>
                <c:pt idx="845">
                  <c:v>216087.16</c:v>
                </c:pt>
                <c:pt idx="846">
                  <c:v>218399.34</c:v>
                </c:pt>
                <c:pt idx="847">
                  <c:v>246675.15</c:v>
                </c:pt>
                <c:pt idx="848">
                  <c:v>246675</c:v>
                </c:pt>
                <c:pt idx="849">
                  <c:v>248377.32</c:v>
                </c:pt>
                <c:pt idx="850">
                  <c:v>277944.71000000002</c:v>
                </c:pt>
                <c:pt idx="851">
                  <c:v>277945</c:v>
                </c:pt>
                <c:pt idx="852">
                  <c:v>278046.71000000002</c:v>
                </c:pt>
                <c:pt idx="853">
                  <c:v>282590.19</c:v>
                </c:pt>
                <c:pt idx="854">
                  <c:v>247195.73</c:v>
                </c:pt>
                <c:pt idx="855">
                  <c:v>247195.73</c:v>
                </c:pt>
                <c:pt idx="856">
                  <c:v>235813.1</c:v>
                </c:pt>
                <c:pt idx="857">
                  <c:v>237210.07</c:v>
                </c:pt>
                <c:pt idx="858">
                  <c:v>237490.39</c:v>
                </c:pt>
                <c:pt idx="859">
                  <c:v>237490</c:v>
                </c:pt>
                <c:pt idx="860">
                  <c:v>237490.39</c:v>
                </c:pt>
                <c:pt idx="861">
                  <c:v>232593.57</c:v>
                </c:pt>
                <c:pt idx="862">
                  <c:v>232923.06</c:v>
                </c:pt>
                <c:pt idx="863">
                  <c:v>196798.51</c:v>
                </c:pt>
                <c:pt idx="864">
                  <c:v>199629.38</c:v>
                </c:pt>
                <c:pt idx="865">
                  <c:v>199629</c:v>
                </c:pt>
                <c:pt idx="866">
                  <c:v>195151.45</c:v>
                </c:pt>
                <c:pt idx="867">
                  <c:v>228843.78</c:v>
                </c:pt>
                <c:pt idx="868">
                  <c:v>228844</c:v>
                </c:pt>
                <c:pt idx="869">
                  <c:v>228844</c:v>
                </c:pt>
                <c:pt idx="870">
                  <c:v>229051.78</c:v>
                </c:pt>
                <c:pt idx="871">
                  <c:v>234767.17</c:v>
                </c:pt>
                <c:pt idx="872">
                  <c:v>236117.76000000001</c:v>
                </c:pt>
                <c:pt idx="873">
                  <c:v>236118</c:v>
                </c:pt>
                <c:pt idx="874">
                  <c:v>208888.5</c:v>
                </c:pt>
                <c:pt idx="875">
                  <c:v>208792.5</c:v>
                </c:pt>
                <c:pt idx="876">
                  <c:v>203219.37</c:v>
                </c:pt>
                <c:pt idx="877">
                  <c:v>205639.37</c:v>
                </c:pt>
                <c:pt idx="878">
                  <c:v>205639.37</c:v>
                </c:pt>
                <c:pt idx="879">
                  <c:v>232145.73</c:v>
                </c:pt>
                <c:pt idx="880">
                  <c:v>233325.32</c:v>
                </c:pt>
                <c:pt idx="881">
                  <c:v>225375.98</c:v>
                </c:pt>
                <c:pt idx="882">
                  <c:v>225424.1</c:v>
                </c:pt>
                <c:pt idx="883">
                  <c:v>187365.06</c:v>
                </c:pt>
                <c:pt idx="884">
                  <c:v>187365</c:v>
                </c:pt>
                <c:pt idx="885">
                  <c:v>187365</c:v>
                </c:pt>
                <c:pt idx="886">
                  <c:v>172667.6</c:v>
                </c:pt>
                <c:pt idx="887">
                  <c:v>172668</c:v>
                </c:pt>
                <c:pt idx="888">
                  <c:v>236616.35</c:v>
                </c:pt>
                <c:pt idx="889">
                  <c:v>237913.62</c:v>
                </c:pt>
                <c:pt idx="890">
                  <c:v>237914</c:v>
                </c:pt>
                <c:pt idx="891">
                  <c:v>244708.19</c:v>
                </c:pt>
                <c:pt idx="892">
                  <c:v>249899.19</c:v>
                </c:pt>
                <c:pt idx="893">
                  <c:v>249899</c:v>
                </c:pt>
                <c:pt idx="894">
                  <c:v>215930.73</c:v>
                </c:pt>
                <c:pt idx="895">
                  <c:v>215931</c:v>
                </c:pt>
                <c:pt idx="896">
                  <c:v>205664.34</c:v>
                </c:pt>
                <c:pt idx="897">
                  <c:v>205830.34</c:v>
                </c:pt>
                <c:pt idx="898">
                  <c:v>205830</c:v>
                </c:pt>
                <c:pt idx="899">
                  <c:v>205830</c:v>
                </c:pt>
                <c:pt idx="900">
                  <c:v>205830</c:v>
                </c:pt>
                <c:pt idx="901">
                  <c:v>207654.61</c:v>
                </c:pt>
                <c:pt idx="902">
                  <c:v>207743.24</c:v>
                </c:pt>
                <c:pt idx="903">
                  <c:v>207845.42</c:v>
                </c:pt>
                <c:pt idx="904">
                  <c:v>173840.8</c:v>
                </c:pt>
                <c:pt idx="905">
                  <c:v>212383.95</c:v>
                </c:pt>
                <c:pt idx="906">
                  <c:v>205141.98</c:v>
                </c:pt>
                <c:pt idx="907">
                  <c:v>205834.98</c:v>
                </c:pt>
                <c:pt idx="908">
                  <c:v>205884.98</c:v>
                </c:pt>
                <c:pt idx="909">
                  <c:v>205884.98</c:v>
                </c:pt>
                <c:pt idx="910">
                  <c:v>231641.34</c:v>
                </c:pt>
                <c:pt idx="911">
                  <c:v>236338.62</c:v>
                </c:pt>
                <c:pt idx="912">
                  <c:v>269514.5</c:v>
                </c:pt>
                <c:pt idx="913">
                  <c:v>287654.26</c:v>
                </c:pt>
                <c:pt idx="914">
                  <c:v>254047.41</c:v>
                </c:pt>
                <c:pt idx="915">
                  <c:v>254047</c:v>
                </c:pt>
                <c:pt idx="916">
                  <c:v>244596.04</c:v>
                </c:pt>
                <c:pt idx="917">
                  <c:v>244881.04</c:v>
                </c:pt>
                <c:pt idx="918">
                  <c:v>244881</c:v>
                </c:pt>
                <c:pt idx="919">
                  <c:v>244881</c:v>
                </c:pt>
                <c:pt idx="920">
                  <c:v>244881</c:v>
                </c:pt>
                <c:pt idx="921">
                  <c:v>247845.59</c:v>
                </c:pt>
                <c:pt idx="922">
                  <c:v>247846</c:v>
                </c:pt>
                <c:pt idx="923">
                  <c:v>247846</c:v>
                </c:pt>
                <c:pt idx="924">
                  <c:v>183161.53</c:v>
                </c:pt>
                <c:pt idx="925">
                  <c:v>185786.19</c:v>
                </c:pt>
                <c:pt idx="926">
                  <c:v>160581.73000000001</c:v>
                </c:pt>
                <c:pt idx="927">
                  <c:v>160581.73000000001</c:v>
                </c:pt>
                <c:pt idx="928">
                  <c:v>160581.73000000001</c:v>
                </c:pt>
                <c:pt idx="929">
                  <c:v>160581.73000000001</c:v>
                </c:pt>
                <c:pt idx="930">
                  <c:v>171996.42</c:v>
                </c:pt>
                <c:pt idx="931">
                  <c:v>167352.24</c:v>
                </c:pt>
                <c:pt idx="932">
                  <c:v>166766.24</c:v>
                </c:pt>
                <c:pt idx="933">
                  <c:v>129051.26</c:v>
                </c:pt>
                <c:pt idx="934">
                  <c:v>132306.64000000001</c:v>
                </c:pt>
                <c:pt idx="935">
                  <c:v>181475.08</c:v>
                </c:pt>
                <c:pt idx="936">
                  <c:v>169335.94</c:v>
                </c:pt>
                <c:pt idx="937">
                  <c:v>171521.13</c:v>
                </c:pt>
                <c:pt idx="938">
                  <c:v>171521</c:v>
                </c:pt>
                <c:pt idx="939">
                  <c:v>171521</c:v>
                </c:pt>
                <c:pt idx="940">
                  <c:v>201934.13</c:v>
                </c:pt>
                <c:pt idx="941">
                  <c:v>198457.3</c:v>
                </c:pt>
                <c:pt idx="942">
                  <c:v>198457</c:v>
                </c:pt>
                <c:pt idx="943">
                  <c:v>164046.53</c:v>
                </c:pt>
                <c:pt idx="944">
                  <c:v>164047</c:v>
                </c:pt>
                <c:pt idx="945">
                  <c:v>198779.19</c:v>
                </c:pt>
                <c:pt idx="946">
                  <c:v>188221.13</c:v>
                </c:pt>
                <c:pt idx="947">
                  <c:v>190279.89</c:v>
                </c:pt>
                <c:pt idx="948">
                  <c:v>190179.89</c:v>
                </c:pt>
                <c:pt idx="949">
                  <c:v>190180</c:v>
                </c:pt>
                <c:pt idx="950">
                  <c:v>190180</c:v>
                </c:pt>
                <c:pt idx="951">
                  <c:v>188919.3</c:v>
                </c:pt>
                <c:pt idx="952">
                  <c:v>188919</c:v>
                </c:pt>
                <c:pt idx="953">
                  <c:v>153349.64000000001</c:v>
                </c:pt>
                <c:pt idx="954">
                  <c:v>153226.64000000001</c:v>
                </c:pt>
                <c:pt idx="955">
                  <c:v>154369.64000000001</c:v>
                </c:pt>
                <c:pt idx="956">
                  <c:v>154370</c:v>
                </c:pt>
                <c:pt idx="957">
                  <c:v>237011.17</c:v>
                </c:pt>
                <c:pt idx="958">
                  <c:v>237011</c:v>
                </c:pt>
                <c:pt idx="959">
                  <c:v>237011</c:v>
                </c:pt>
                <c:pt idx="960">
                  <c:v>237011</c:v>
                </c:pt>
                <c:pt idx="961">
                  <c:v>229967.75</c:v>
                </c:pt>
                <c:pt idx="962">
                  <c:v>229968</c:v>
                </c:pt>
                <c:pt idx="963">
                  <c:v>193352.99</c:v>
                </c:pt>
                <c:pt idx="964">
                  <c:v>193629.99</c:v>
                </c:pt>
                <c:pt idx="965">
                  <c:v>193630</c:v>
                </c:pt>
                <c:pt idx="966">
                  <c:v>193945</c:v>
                </c:pt>
                <c:pt idx="967">
                  <c:v>196370.92</c:v>
                </c:pt>
                <c:pt idx="968">
                  <c:v>196370.92</c:v>
                </c:pt>
                <c:pt idx="969">
                  <c:v>196370.92</c:v>
                </c:pt>
                <c:pt idx="970">
                  <c:v>196370.92</c:v>
                </c:pt>
                <c:pt idx="971">
                  <c:v>194997.56</c:v>
                </c:pt>
                <c:pt idx="972">
                  <c:v>194998</c:v>
                </c:pt>
                <c:pt idx="973">
                  <c:v>158280.26999999999</c:v>
                </c:pt>
                <c:pt idx="974">
                  <c:v>163840.26999999999</c:v>
                </c:pt>
                <c:pt idx="975">
                  <c:v>163840</c:v>
                </c:pt>
                <c:pt idx="976">
                  <c:v>213174.46</c:v>
                </c:pt>
                <c:pt idx="977">
                  <c:v>212851.46</c:v>
                </c:pt>
                <c:pt idx="978">
                  <c:v>212221.74</c:v>
                </c:pt>
                <c:pt idx="979">
                  <c:v>189055.83</c:v>
                </c:pt>
                <c:pt idx="980">
                  <c:v>189056</c:v>
                </c:pt>
                <c:pt idx="981">
                  <c:v>206403.28</c:v>
                </c:pt>
                <c:pt idx="982">
                  <c:v>206217.28</c:v>
                </c:pt>
                <c:pt idx="983">
                  <c:v>206129.28</c:v>
                </c:pt>
                <c:pt idx="984">
                  <c:v>172858.39</c:v>
                </c:pt>
                <c:pt idx="985">
                  <c:v>172585</c:v>
                </c:pt>
                <c:pt idx="986">
                  <c:v>184752.38</c:v>
                </c:pt>
                <c:pt idx="987">
                  <c:v>199849.93</c:v>
                </c:pt>
                <c:pt idx="988">
                  <c:v>199850</c:v>
                </c:pt>
                <c:pt idx="989">
                  <c:v>199850</c:v>
                </c:pt>
                <c:pt idx="990">
                  <c:v>199942.09</c:v>
                </c:pt>
                <c:pt idx="991">
                  <c:v>197586.14</c:v>
                </c:pt>
                <c:pt idx="992">
                  <c:v>197586</c:v>
                </c:pt>
                <c:pt idx="993">
                  <c:v>197586</c:v>
                </c:pt>
                <c:pt idx="994">
                  <c:v>160213.23000000001</c:v>
                </c:pt>
                <c:pt idx="995">
                  <c:v>160213</c:v>
                </c:pt>
                <c:pt idx="996">
                  <c:v>178835.97</c:v>
                </c:pt>
                <c:pt idx="997">
                  <c:v>177774.06</c:v>
                </c:pt>
                <c:pt idx="998">
                  <c:v>177774</c:v>
                </c:pt>
                <c:pt idx="999">
                  <c:v>177774</c:v>
                </c:pt>
                <c:pt idx="1000">
                  <c:v>253459.84</c:v>
                </c:pt>
                <c:pt idx="1001">
                  <c:v>235320.22</c:v>
                </c:pt>
                <c:pt idx="1002">
                  <c:v>235320</c:v>
                </c:pt>
                <c:pt idx="1003">
                  <c:v>198483.96</c:v>
                </c:pt>
                <c:pt idx="1004">
                  <c:v>212819.68</c:v>
                </c:pt>
                <c:pt idx="1005">
                  <c:v>212820</c:v>
                </c:pt>
                <c:pt idx="1006">
                  <c:v>212584.24</c:v>
                </c:pt>
                <c:pt idx="1007">
                  <c:v>270092.23</c:v>
                </c:pt>
                <c:pt idx="1008">
                  <c:v>270092</c:v>
                </c:pt>
                <c:pt idx="1009">
                  <c:v>273133.13</c:v>
                </c:pt>
                <c:pt idx="1010">
                  <c:v>273133</c:v>
                </c:pt>
                <c:pt idx="1011">
                  <c:v>280484.09000000003</c:v>
                </c:pt>
                <c:pt idx="1012">
                  <c:v>279225.67</c:v>
                </c:pt>
                <c:pt idx="1013">
                  <c:v>279226</c:v>
                </c:pt>
                <c:pt idx="1014">
                  <c:v>241740.68</c:v>
                </c:pt>
                <c:pt idx="1015">
                  <c:v>268478</c:v>
                </c:pt>
                <c:pt idx="1016">
                  <c:v>258524.93</c:v>
                </c:pt>
                <c:pt idx="1017">
                  <c:v>277316.53000000003</c:v>
                </c:pt>
                <c:pt idx="1018">
                  <c:v>277317</c:v>
                </c:pt>
                <c:pt idx="1019">
                  <c:v>279881.78999999998</c:v>
                </c:pt>
                <c:pt idx="1020">
                  <c:v>279882</c:v>
                </c:pt>
                <c:pt idx="1021">
                  <c:v>270773.33</c:v>
                </c:pt>
                <c:pt idx="1022">
                  <c:v>306133.57</c:v>
                </c:pt>
                <c:pt idx="1023">
                  <c:v>267343.68</c:v>
                </c:pt>
                <c:pt idx="1024">
                  <c:v>267157.68</c:v>
                </c:pt>
                <c:pt idx="1025">
                  <c:v>267157.68</c:v>
                </c:pt>
                <c:pt idx="1026">
                  <c:v>264690.95</c:v>
                </c:pt>
                <c:pt idx="1027">
                  <c:v>264495.03999999998</c:v>
                </c:pt>
                <c:pt idx="1028">
                  <c:v>264495.03999999998</c:v>
                </c:pt>
                <c:pt idx="1029">
                  <c:v>267283.63</c:v>
                </c:pt>
                <c:pt idx="1030">
                  <c:v>267283.63</c:v>
                </c:pt>
                <c:pt idx="1031">
                  <c:v>259537.69</c:v>
                </c:pt>
                <c:pt idx="1032">
                  <c:v>259645.65</c:v>
                </c:pt>
                <c:pt idx="1033">
                  <c:v>279221.03000000003</c:v>
                </c:pt>
                <c:pt idx="1034">
                  <c:v>232150.36</c:v>
                </c:pt>
                <c:pt idx="1035">
                  <c:v>274274.51</c:v>
                </c:pt>
                <c:pt idx="1036">
                  <c:v>276629.48</c:v>
                </c:pt>
                <c:pt idx="1037">
                  <c:v>276629.48</c:v>
                </c:pt>
                <c:pt idx="1038">
                  <c:v>292626.55</c:v>
                </c:pt>
                <c:pt idx="1039">
                  <c:v>292626.55</c:v>
                </c:pt>
                <c:pt idx="1040">
                  <c:v>292626.55</c:v>
                </c:pt>
                <c:pt idx="1041">
                  <c:v>292626.55</c:v>
                </c:pt>
                <c:pt idx="1042">
                  <c:v>292582.55</c:v>
                </c:pt>
                <c:pt idx="1043">
                  <c:v>292582.55</c:v>
                </c:pt>
                <c:pt idx="1044">
                  <c:v>292582.55</c:v>
                </c:pt>
                <c:pt idx="1045">
                  <c:v>256343.91</c:v>
                </c:pt>
                <c:pt idx="1046">
                  <c:v>260066.55</c:v>
                </c:pt>
                <c:pt idx="1047">
                  <c:v>259418.64</c:v>
                </c:pt>
                <c:pt idx="1048">
                  <c:v>259418.64</c:v>
                </c:pt>
                <c:pt idx="1049">
                  <c:v>259418.64</c:v>
                </c:pt>
                <c:pt idx="1050">
                  <c:v>259418.64</c:v>
                </c:pt>
                <c:pt idx="1051">
                  <c:v>256056.32000000001</c:v>
                </c:pt>
                <c:pt idx="1052">
                  <c:v>256056.32000000001</c:v>
                </c:pt>
                <c:pt idx="1053">
                  <c:v>256056.32000000001</c:v>
                </c:pt>
                <c:pt idx="1054">
                  <c:v>256056.32000000001</c:v>
                </c:pt>
                <c:pt idx="1055">
                  <c:v>222877.12</c:v>
                </c:pt>
                <c:pt idx="1056">
                  <c:v>222877.12</c:v>
                </c:pt>
                <c:pt idx="1057">
                  <c:v>222415.21</c:v>
                </c:pt>
                <c:pt idx="1058">
                  <c:v>222415.21</c:v>
                </c:pt>
                <c:pt idx="1059">
                  <c:v>222415.21</c:v>
                </c:pt>
                <c:pt idx="1060">
                  <c:v>222415.21</c:v>
                </c:pt>
                <c:pt idx="1061">
                  <c:v>185658.71</c:v>
                </c:pt>
                <c:pt idx="1062">
                  <c:v>185658.71</c:v>
                </c:pt>
                <c:pt idx="1063">
                  <c:v>185614.71</c:v>
                </c:pt>
                <c:pt idx="1064">
                  <c:v>152434.01999999999</c:v>
                </c:pt>
                <c:pt idx="1065">
                  <c:v>152434.01999999999</c:v>
                </c:pt>
                <c:pt idx="1066">
                  <c:v>173230.55</c:v>
                </c:pt>
                <c:pt idx="1067">
                  <c:v>173492.71000000002</c:v>
                </c:pt>
                <c:pt idx="1068">
                  <c:v>173306.64</c:v>
                </c:pt>
                <c:pt idx="1069">
                  <c:v>173307</c:v>
                </c:pt>
                <c:pt idx="1070">
                  <c:v>173307</c:v>
                </c:pt>
                <c:pt idx="1071">
                  <c:v>173307</c:v>
                </c:pt>
                <c:pt idx="1072">
                  <c:v>385709.68000000005</c:v>
                </c:pt>
                <c:pt idx="1073">
                  <c:v>385710.04000000004</c:v>
                </c:pt>
                <c:pt idx="1074">
                  <c:v>385904.98</c:v>
                </c:pt>
                <c:pt idx="1075">
                  <c:v>362979.35</c:v>
                </c:pt>
                <c:pt idx="1076">
                  <c:v>362979.35</c:v>
                </c:pt>
                <c:pt idx="1077">
                  <c:v>362624.73</c:v>
                </c:pt>
                <c:pt idx="1078">
                  <c:v>362070.03</c:v>
                </c:pt>
                <c:pt idx="1079">
                  <c:v>352214.86</c:v>
                </c:pt>
                <c:pt idx="1080">
                  <c:v>352214.86</c:v>
                </c:pt>
                <c:pt idx="1081">
                  <c:v>337570.28</c:v>
                </c:pt>
                <c:pt idx="1082">
                  <c:v>337570.28</c:v>
                </c:pt>
                <c:pt idx="1083">
                  <c:v>337570.28</c:v>
                </c:pt>
                <c:pt idx="1084">
                  <c:v>337570.28</c:v>
                </c:pt>
                <c:pt idx="1085">
                  <c:v>314828.33999999997</c:v>
                </c:pt>
                <c:pt idx="1086">
                  <c:v>314642.31</c:v>
                </c:pt>
                <c:pt idx="1087">
                  <c:v>314180.40000000002</c:v>
                </c:pt>
                <c:pt idx="1088">
                  <c:v>336211.19</c:v>
                </c:pt>
                <c:pt idx="1089">
                  <c:v>327639.93</c:v>
                </c:pt>
                <c:pt idx="1090">
                  <c:v>327640</c:v>
                </c:pt>
                <c:pt idx="1091">
                  <c:v>332166.29000000004</c:v>
                </c:pt>
                <c:pt idx="1092">
                  <c:v>332166.29000000004</c:v>
                </c:pt>
                <c:pt idx="1093">
                  <c:v>378580.41000000003</c:v>
                </c:pt>
                <c:pt idx="1094">
                  <c:v>378580.41000000003</c:v>
                </c:pt>
                <c:pt idx="1095">
                  <c:v>355599.42</c:v>
                </c:pt>
                <c:pt idx="1096">
                  <c:v>348512.49</c:v>
                </c:pt>
                <c:pt idx="1097">
                  <c:v>351663.19</c:v>
                </c:pt>
                <c:pt idx="1098">
                  <c:v>351097.70999999996</c:v>
                </c:pt>
                <c:pt idx="1099">
                  <c:v>351097.70999999996</c:v>
                </c:pt>
                <c:pt idx="1100">
                  <c:v>342735.58</c:v>
                </c:pt>
                <c:pt idx="1101">
                  <c:v>344495.52</c:v>
                </c:pt>
                <c:pt idx="1102">
                  <c:v>344495.52</c:v>
                </c:pt>
                <c:pt idx="1103">
                  <c:v>344495.52</c:v>
                </c:pt>
                <c:pt idx="1104">
                  <c:v>334324.15000000002</c:v>
                </c:pt>
                <c:pt idx="1105">
                  <c:v>342928.85</c:v>
                </c:pt>
                <c:pt idx="1106">
                  <c:v>325375.87</c:v>
                </c:pt>
                <c:pt idx="1107">
                  <c:v>324225.81</c:v>
                </c:pt>
                <c:pt idx="1108">
                  <c:v>324225.81</c:v>
                </c:pt>
                <c:pt idx="1109">
                  <c:v>332737.41000000003</c:v>
                </c:pt>
                <c:pt idx="1110">
                  <c:v>348287.12</c:v>
                </c:pt>
                <c:pt idx="1111">
                  <c:v>351754.67</c:v>
                </c:pt>
                <c:pt idx="1112">
                  <c:v>352041.67</c:v>
                </c:pt>
                <c:pt idx="1113">
                  <c:v>352042</c:v>
                </c:pt>
                <c:pt idx="1114">
                  <c:v>352042</c:v>
                </c:pt>
                <c:pt idx="1115">
                  <c:v>326415.09999999998</c:v>
                </c:pt>
                <c:pt idx="1116">
                  <c:v>312231.88999999996</c:v>
                </c:pt>
                <c:pt idx="1117">
                  <c:v>311779.87</c:v>
                </c:pt>
                <c:pt idx="1118">
                  <c:v>311474.96999999997</c:v>
                </c:pt>
                <c:pt idx="1119">
                  <c:v>315477.69</c:v>
                </c:pt>
                <c:pt idx="1120">
                  <c:v>315594.98</c:v>
                </c:pt>
                <c:pt idx="1121">
                  <c:v>318211.11</c:v>
                </c:pt>
                <c:pt idx="1122">
                  <c:v>318211.09999999998</c:v>
                </c:pt>
                <c:pt idx="1123">
                  <c:v>339655.69</c:v>
                </c:pt>
                <c:pt idx="1124">
                  <c:v>328838.90999999997</c:v>
                </c:pt>
                <c:pt idx="1125">
                  <c:v>315049.81</c:v>
                </c:pt>
                <c:pt idx="1126">
                  <c:v>308750.14999999997</c:v>
                </c:pt>
                <c:pt idx="1127">
                  <c:v>309653.73</c:v>
                </c:pt>
                <c:pt idx="1128">
                  <c:v>300292.32</c:v>
                </c:pt>
                <c:pt idx="1129">
                  <c:v>300248.32000000001</c:v>
                </c:pt>
                <c:pt idx="1130">
                  <c:v>298885.23</c:v>
                </c:pt>
                <c:pt idx="1131">
                  <c:v>298918.89</c:v>
                </c:pt>
                <c:pt idx="1132">
                  <c:v>298919</c:v>
                </c:pt>
                <c:pt idx="1133">
                  <c:v>262470.13</c:v>
                </c:pt>
                <c:pt idx="1134">
                  <c:v>254560.85</c:v>
                </c:pt>
                <c:pt idx="1135">
                  <c:v>254561</c:v>
                </c:pt>
                <c:pt idx="1136">
                  <c:v>256783.26</c:v>
                </c:pt>
                <c:pt idx="1137">
                  <c:v>256330.97</c:v>
                </c:pt>
                <c:pt idx="1138">
                  <c:v>256331</c:v>
                </c:pt>
                <c:pt idx="1139">
                  <c:v>256331</c:v>
                </c:pt>
                <c:pt idx="1140">
                  <c:v>256420.97</c:v>
                </c:pt>
                <c:pt idx="1141">
                  <c:v>256421</c:v>
                </c:pt>
                <c:pt idx="1142">
                  <c:v>296838.09999999998</c:v>
                </c:pt>
                <c:pt idx="1143">
                  <c:v>261012.14</c:v>
                </c:pt>
                <c:pt idx="1144">
                  <c:v>345553.24</c:v>
                </c:pt>
                <c:pt idx="1145">
                  <c:v>345720.24</c:v>
                </c:pt>
                <c:pt idx="1146">
                  <c:v>343380.65</c:v>
                </c:pt>
                <c:pt idx="1147">
                  <c:v>342938.36</c:v>
                </c:pt>
                <c:pt idx="1148">
                  <c:v>342938</c:v>
                </c:pt>
                <c:pt idx="1149">
                  <c:v>340515.33</c:v>
                </c:pt>
                <c:pt idx="1150">
                  <c:v>359946.57</c:v>
                </c:pt>
                <c:pt idx="1151">
                  <c:v>359946.57</c:v>
                </c:pt>
                <c:pt idx="1152">
                  <c:v>359946.57</c:v>
                </c:pt>
                <c:pt idx="1153">
                  <c:v>359946.57</c:v>
                </c:pt>
                <c:pt idx="1154">
                  <c:v>347126.06</c:v>
                </c:pt>
                <c:pt idx="1155">
                  <c:v>347075.06</c:v>
                </c:pt>
                <c:pt idx="1156">
                  <c:v>350416.44</c:v>
                </c:pt>
                <c:pt idx="1157">
                  <c:v>343258.81</c:v>
                </c:pt>
                <c:pt idx="1158">
                  <c:v>343258.81</c:v>
                </c:pt>
                <c:pt idx="1159">
                  <c:v>343258.81</c:v>
                </c:pt>
                <c:pt idx="1160">
                  <c:v>343258.81</c:v>
                </c:pt>
                <c:pt idx="1161">
                  <c:v>351420.85</c:v>
                </c:pt>
                <c:pt idx="1162">
                  <c:v>351420.85</c:v>
                </c:pt>
                <c:pt idx="1163">
                  <c:v>319295.21000000002</c:v>
                </c:pt>
                <c:pt idx="1164">
                  <c:v>319390.87</c:v>
                </c:pt>
                <c:pt idx="1165">
                  <c:v>318221.31</c:v>
                </c:pt>
                <c:pt idx="1166">
                  <c:v>321494.34000000003</c:v>
                </c:pt>
                <c:pt idx="1167">
                  <c:v>321052.05</c:v>
                </c:pt>
                <c:pt idx="1168">
                  <c:v>321052</c:v>
                </c:pt>
                <c:pt idx="1169">
                  <c:v>347075.9</c:v>
                </c:pt>
                <c:pt idx="1170">
                  <c:v>348950.3</c:v>
                </c:pt>
                <c:pt idx="1171">
                  <c:v>354130.18</c:v>
                </c:pt>
                <c:pt idx="1172">
                  <c:v>354086.18</c:v>
                </c:pt>
                <c:pt idx="1173">
                  <c:v>348608</c:v>
                </c:pt>
                <c:pt idx="1174">
                  <c:v>313591.89</c:v>
                </c:pt>
                <c:pt idx="1175">
                  <c:v>348489.68</c:v>
                </c:pt>
                <c:pt idx="1176">
                  <c:v>346634.44</c:v>
                </c:pt>
                <c:pt idx="1177">
                  <c:v>346390.75</c:v>
                </c:pt>
                <c:pt idx="1178">
                  <c:v>346313.83</c:v>
                </c:pt>
                <c:pt idx="1179">
                  <c:v>346084.99</c:v>
                </c:pt>
                <c:pt idx="1180">
                  <c:v>346085</c:v>
                </c:pt>
                <c:pt idx="1181">
                  <c:v>380839.99</c:v>
                </c:pt>
                <c:pt idx="1182">
                  <c:v>380840</c:v>
                </c:pt>
                <c:pt idx="1183">
                  <c:v>380840</c:v>
                </c:pt>
                <c:pt idx="1184">
                  <c:v>346182.3</c:v>
                </c:pt>
                <c:pt idx="1185">
                  <c:v>346103.46</c:v>
                </c:pt>
                <c:pt idx="1186">
                  <c:v>339569.88</c:v>
                </c:pt>
                <c:pt idx="1187">
                  <c:v>364967.49</c:v>
                </c:pt>
                <c:pt idx="1188">
                  <c:v>343525.33</c:v>
                </c:pt>
                <c:pt idx="1189">
                  <c:v>343525</c:v>
                </c:pt>
                <c:pt idx="1190">
                  <c:v>340413.21</c:v>
                </c:pt>
                <c:pt idx="1191">
                  <c:v>354245.2</c:v>
                </c:pt>
                <c:pt idx="1192">
                  <c:v>354086.35</c:v>
                </c:pt>
                <c:pt idx="1193">
                  <c:v>354086</c:v>
                </c:pt>
                <c:pt idx="1194">
                  <c:v>312941.49</c:v>
                </c:pt>
                <c:pt idx="1195">
                  <c:v>312941</c:v>
                </c:pt>
                <c:pt idx="1196">
                  <c:v>312941</c:v>
                </c:pt>
                <c:pt idx="1197">
                  <c:v>336359.66</c:v>
                </c:pt>
                <c:pt idx="1198">
                  <c:v>336077.1</c:v>
                </c:pt>
                <c:pt idx="1199">
                  <c:v>336077</c:v>
                </c:pt>
                <c:pt idx="1200">
                  <c:v>328153.34999999998</c:v>
                </c:pt>
                <c:pt idx="1201">
                  <c:v>328497.34999999998</c:v>
                </c:pt>
                <c:pt idx="1202">
                  <c:v>327078.57</c:v>
                </c:pt>
                <c:pt idx="1203">
                  <c:v>293224.96000000002</c:v>
                </c:pt>
                <c:pt idx="1204">
                  <c:v>297955.08</c:v>
                </c:pt>
                <c:pt idx="1205">
                  <c:v>297955</c:v>
                </c:pt>
                <c:pt idx="1206">
                  <c:v>301097.59000000003</c:v>
                </c:pt>
                <c:pt idx="1207">
                  <c:v>300720.71000000002</c:v>
                </c:pt>
                <c:pt idx="1208">
                  <c:v>300721</c:v>
                </c:pt>
                <c:pt idx="1209">
                  <c:v>300721</c:v>
                </c:pt>
                <c:pt idx="1210">
                  <c:v>298371.37</c:v>
                </c:pt>
                <c:pt idx="1211">
                  <c:v>298371</c:v>
                </c:pt>
                <c:pt idx="1212">
                  <c:v>297912.75</c:v>
                </c:pt>
                <c:pt idx="1213">
                  <c:v>260100.75</c:v>
                </c:pt>
                <c:pt idx="1214">
                  <c:v>260101</c:v>
                </c:pt>
                <c:pt idx="1215">
                  <c:v>259952.43</c:v>
                </c:pt>
                <c:pt idx="1216">
                  <c:v>259952</c:v>
                </c:pt>
                <c:pt idx="1217">
                  <c:v>261011.41</c:v>
                </c:pt>
                <c:pt idx="1218">
                  <c:v>256570.76</c:v>
                </c:pt>
                <c:pt idx="1219">
                  <c:v>256571</c:v>
                </c:pt>
                <c:pt idx="1220">
                  <c:v>343824.57</c:v>
                </c:pt>
                <c:pt idx="1221">
                  <c:v>348428.77</c:v>
                </c:pt>
                <c:pt idx="1222">
                  <c:v>348429</c:v>
                </c:pt>
                <c:pt idx="1223">
                  <c:v>313593.81</c:v>
                </c:pt>
                <c:pt idx="1224">
                  <c:v>320775.28999999998</c:v>
                </c:pt>
                <c:pt idx="1225">
                  <c:v>321115.28999999998</c:v>
                </c:pt>
                <c:pt idx="1226">
                  <c:v>314719.49</c:v>
                </c:pt>
                <c:pt idx="1227">
                  <c:v>317009.81</c:v>
                </c:pt>
                <c:pt idx="1228">
                  <c:v>316409.81</c:v>
                </c:pt>
                <c:pt idx="1229">
                  <c:v>316462.65000000002</c:v>
                </c:pt>
                <c:pt idx="1230">
                  <c:v>337790.61</c:v>
                </c:pt>
                <c:pt idx="1231">
                  <c:v>337791</c:v>
                </c:pt>
                <c:pt idx="1232">
                  <c:v>337791</c:v>
                </c:pt>
                <c:pt idx="1233">
                  <c:v>304627.44</c:v>
                </c:pt>
                <c:pt idx="1234">
                  <c:v>304802.88</c:v>
                </c:pt>
                <c:pt idx="1235">
                  <c:v>304803</c:v>
                </c:pt>
                <c:pt idx="1236">
                  <c:v>338461.96</c:v>
                </c:pt>
                <c:pt idx="1237">
                  <c:v>338462</c:v>
                </c:pt>
                <c:pt idx="1238">
                  <c:v>373533.96</c:v>
                </c:pt>
                <c:pt idx="1239">
                  <c:v>373168.21</c:v>
                </c:pt>
                <c:pt idx="1240">
                  <c:v>375552.7</c:v>
                </c:pt>
                <c:pt idx="1241">
                  <c:v>397543.49</c:v>
                </c:pt>
                <c:pt idx="1242">
                  <c:v>397543</c:v>
                </c:pt>
                <c:pt idx="1243">
                  <c:v>380539.51</c:v>
                </c:pt>
                <c:pt idx="1244">
                  <c:v>349091.91</c:v>
                </c:pt>
                <c:pt idx="1245">
                  <c:v>349092</c:v>
                </c:pt>
                <c:pt idx="1246">
                  <c:v>409281.75</c:v>
                </c:pt>
                <c:pt idx="1247">
                  <c:v>408971.69</c:v>
                </c:pt>
                <c:pt idx="1248">
                  <c:v>408739.83</c:v>
                </c:pt>
                <c:pt idx="1249">
                  <c:v>401650.97</c:v>
                </c:pt>
                <c:pt idx="1250">
                  <c:v>413709.67</c:v>
                </c:pt>
                <c:pt idx="1251">
                  <c:v>412321.56</c:v>
                </c:pt>
                <c:pt idx="1252">
                  <c:v>412384.91</c:v>
                </c:pt>
                <c:pt idx="1253">
                  <c:v>412385</c:v>
                </c:pt>
                <c:pt idx="1254">
                  <c:v>417699.08</c:v>
                </c:pt>
                <c:pt idx="1255">
                  <c:v>417952.08</c:v>
                </c:pt>
                <c:pt idx="1256">
                  <c:v>402996.41</c:v>
                </c:pt>
                <c:pt idx="1257">
                  <c:v>402527.5</c:v>
                </c:pt>
                <c:pt idx="1258">
                  <c:v>402528</c:v>
                </c:pt>
                <c:pt idx="1259">
                  <c:v>399742.18</c:v>
                </c:pt>
                <c:pt idx="1260">
                  <c:v>399886.18</c:v>
                </c:pt>
                <c:pt idx="1261">
                  <c:v>393628.47</c:v>
                </c:pt>
                <c:pt idx="1262">
                  <c:v>393628</c:v>
                </c:pt>
                <c:pt idx="1263">
                  <c:v>393628</c:v>
                </c:pt>
                <c:pt idx="1264">
                  <c:v>359326.4</c:v>
                </c:pt>
                <c:pt idx="1265">
                  <c:v>359521.7</c:v>
                </c:pt>
                <c:pt idx="1266">
                  <c:v>359522</c:v>
                </c:pt>
                <c:pt idx="1267">
                  <c:v>347055.28</c:v>
                </c:pt>
                <c:pt idx="1268">
                  <c:v>369629.13</c:v>
                </c:pt>
                <c:pt idx="1269">
                  <c:v>382278.77</c:v>
                </c:pt>
                <c:pt idx="1270">
                  <c:v>382279</c:v>
                </c:pt>
                <c:pt idx="1271">
                  <c:v>378310.6</c:v>
                </c:pt>
                <c:pt idx="1272">
                  <c:v>378369.91</c:v>
                </c:pt>
                <c:pt idx="1273">
                  <c:v>378370</c:v>
                </c:pt>
                <c:pt idx="1274">
                  <c:v>345442.81</c:v>
                </c:pt>
                <c:pt idx="1275">
                  <c:v>345443</c:v>
                </c:pt>
                <c:pt idx="1276">
                  <c:v>345443</c:v>
                </c:pt>
                <c:pt idx="1277">
                  <c:v>364859.97</c:v>
                </c:pt>
                <c:pt idx="1278">
                  <c:v>368452.97</c:v>
                </c:pt>
                <c:pt idx="1279">
                  <c:v>368407.65</c:v>
                </c:pt>
                <c:pt idx="1280">
                  <c:v>373249.01</c:v>
                </c:pt>
                <c:pt idx="1281">
                  <c:v>373249.01</c:v>
                </c:pt>
                <c:pt idx="1282">
                  <c:v>404359.4</c:v>
                </c:pt>
                <c:pt idx="1283">
                  <c:v>398860.85</c:v>
                </c:pt>
                <c:pt idx="1284">
                  <c:v>365079.52</c:v>
                </c:pt>
                <c:pt idx="1285">
                  <c:v>406124.9</c:v>
                </c:pt>
                <c:pt idx="1286">
                  <c:v>409953.76</c:v>
                </c:pt>
                <c:pt idx="1287">
                  <c:v>400983.29</c:v>
                </c:pt>
                <c:pt idx="1288">
                  <c:v>400983</c:v>
                </c:pt>
                <c:pt idx="1289">
                  <c:v>399908.16</c:v>
                </c:pt>
                <c:pt idx="1290">
                  <c:v>399908</c:v>
                </c:pt>
                <c:pt idx="1291">
                  <c:v>399908</c:v>
                </c:pt>
                <c:pt idx="1292">
                  <c:v>399766.22</c:v>
                </c:pt>
                <c:pt idx="1293">
                  <c:v>366689.23</c:v>
                </c:pt>
                <c:pt idx="1294">
                  <c:v>392136.38</c:v>
                </c:pt>
                <c:pt idx="1295">
                  <c:v>414771.89</c:v>
                </c:pt>
                <c:pt idx="1296">
                  <c:v>442093.39</c:v>
                </c:pt>
                <c:pt idx="1297">
                  <c:v>439966.74</c:v>
                </c:pt>
                <c:pt idx="1298">
                  <c:v>439966.74</c:v>
                </c:pt>
                <c:pt idx="1299">
                  <c:v>439966.74</c:v>
                </c:pt>
                <c:pt idx="1300">
                  <c:v>440251.74</c:v>
                </c:pt>
                <c:pt idx="1301">
                  <c:v>440252</c:v>
                </c:pt>
                <c:pt idx="1302">
                  <c:v>424641.64</c:v>
                </c:pt>
                <c:pt idx="1303">
                  <c:v>527059.86</c:v>
                </c:pt>
                <c:pt idx="1304">
                  <c:v>552226.89</c:v>
                </c:pt>
                <c:pt idx="1305">
                  <c:v>552439.89</c:v>
                </c:pt>
                <c:pt idx="1306">
                  <c:v>552439.89</c:v>
                </c:pt>
                <c:pt idx="1307">
                  <c:v>552129.82999999996</c:v>
                </c:pt>
                <c:pt idx="1308">
                  <c:v>552130</c:v>
                </c:pt>
                <c:pt idx="1309">
                  <c:v>552377.82999999996</c:v>
                </c:pt>
                <c:pt idx="1310">
                  <c:v>552378</c:v>
                </c:pt>
                <c:pt idx="1311">
                  <c:v>553005.37</c:v>
                </c:pt>
                <c:pt idx="1312">
                  <c:v>553005</c:v>
                </c:pt>
                <c:pt idx="1313">
                  <c:v>536104.62</c:v>
                </c:pt>
                <c:pt idx="1314">
                  <c:v>503475.62</c:v>
                </c:pt>
                <c:pt idx="1315">
                  <c:v>515272.72</c:v>
                </c:pt>
                <c:pt idx="1316">
                  <c:v>519939.48</c:v>
                </c:pt>
                <c:pt idx="1317">
                  <c:v>518569.61</c:v>
                </c:pt>
                <c:pt idx="1318">
                  <c:v>518755.61</c:v>
                </c:pt>
                <c:pt idx="1319">
                  <c:v>518755.61</c:v>
                </c:pt>
                <c:pt idx="1320">
                  <c:v>518755.61</c:v>
                </c:pt>
                <c:pt idx="1321">
                  <c:v>507528.36</c:v>
                </c:pt>
                <c:pt idx="1322">
                  <c:v>506769.51</c:v>
                </c:pt>
                <c:pt idx="1323">
                  <c:v>506770</c:v>
                </c:pt>
                <c:pt idx="1324">
                  <c:v>473061.43</c:v>
                </c:pt>
                <c:pt idx="1325">
                  <c:v>479261.62</c:v>
                </c:pt>
                <c:pt idx="1326">
                  <c:v>478222.46</c:v>
                </c:pt>
                <c:pt idx="1327">
                  <c:v>477922.01</c:v>
                </c:pt>
                <c:pt idx="1328">
                  <c:v>477922.01</c:v>
                </c:pt>
                <c:pt idx="1329">
                  <c:v>477922.01</c:v>
                </c:pt>
                <c:pt idx="1330">
                  <c:v>477922.01</c:v>
                </c:pt>
                <c:pt idx="1331">
                  <c:v>477922.01</c:v>
                </c:pt>
                <c:pt idx="1332">
                  <c:v>463576.89</c:v>
                </c:pt>
                <c:pt idx="1333">
                  <c:v>473954.09</c:v>
                </c:pt>
                <c:pt idx="1334">
                  <c:v>520561.7</c:v>
                </c:pt>
                <c:pt idx="1335">
                  <c:v>520562</c:v>
                </c:pt>
                <c:pt idx="1336">
                  <c:v>525995.02</c:v>
                </c:pt>
                <c:pt idx="1337">
                  <c:v>521947.98</c:v>
                </c:pt>
                <c:pt idx="1338">
                  <c:v>521948</c:v>
                </c:pt>
                <c:pt idx="1339">
                  <c:v>521948</c:v>
                </c:pt>
                <c:pt idx="1340">
                  <c:v>522186.98</c:v>
                </c:pt>
                <c:pt idx="1341">
                  <c:v>518466.54</c:v>
                </c:pt>
                <c:pt idx="1342">
                  <c:v>518467</c:v>
                </c:pt>
                <c:pt idx="1343">
                  <c:v>486541.35</c:v>
                </c:pt>
                <c:pt idx="1344">
                  <c:v>486541</c:v>
                </c:pt>
                <c:pt idx="1345">
                  <c:v>512462.15</c:v>
                </c:pt>
                <c:pt idx="1346">
                  <c:v>512462</c:v>
                </c:pt>
                <c:pt idx="1347">
                  <c:v>513609.04</c:v>
                </c:pt>
                <c:pt idx="1348">
                  <c:v>513609</c:v>
                </c:pt>
                <c:pt idx="1349">
                  <c:v>513579.05</c:v>
                </c:pt>
                <c:pt idx="1350">
                  <c:v>514399.44</c:v>
                </c:pt>
                <c:pt idx="1351">
                  <c:v>501741.57</c:v>
                </c:pt>
                <c:pt idx="1352">
                  <c:v>501742</c:v>
                </c:pt>
                <c:pt idx="1353">
                  <c:v>502500.51</c:v>
                </c:pt>
                <c:pt idx="1354">
                  <c:v>502953.51</c:v>
                </c:pt>
                <c:pt idx="1355">
                  <c:v>502954</c:v>
                </c:pt>
                <c:pt idx="1356">
                  <c:v>483592.4</c:v>
                </c:pt>
                <c:pt idx="1357">
                  <c:v>483291.95</c:v>
                </c:pt>
                <c:pt idx="1358">
                  <c:v>495768.59</c:v>
                </c:pt>
                <c:pt idx="1359">
                  <c:v>495822.72</c:v>
                </c:pt>
                <c:pt idx="1360">
                  <c:v>520028.1</c:v>
                </c:pt>
                <c:pt idx="1361">
                  <c:v>517161.8</c:v>
                </c:pt>
                <c:pt idx="1362">
                  <c:v>518094.91</c:v>
                </c:pt>
                <c:pt idx="1363">
                  <c:v>484042.38</c:v>
                </c:pt>
                <c:pt idx="1364">
                  <c:v>497746.99</c:v>
                </c:pt>
                <c:pt idx="1365">
                  <c:v>497747</c:v>
                </c:pt>
                <c:pt idx="1366">
                  <c:v>495381.8</c:v>
                </c:pt>
                <c:pt idx="1367">
                  <c:v>495081.35</c:v>
                </c:pt>
                <c:pt idx="1368">
                  <c:v>495055.65</c:v>
                </c:pt>
                <c:pt idx="1369">
                  <c:v>495056</c:v>
                </c:pt>
                <c:pt idx="1370">
                  <c:v>497588.94</c:v>
                </c:pt>
                <c:pt idx="1371">
                  <c:v>488300.76</c:v>
                </c:pt>
                <c:pt idx="1372">
                  <c:v>488301</c:v>
                </c:pt>
                <c:pt idx="1373">
                  <c:v>488301</c:v>
                </c:pt>
                <c:pt idx="1374">
                  <c:v>453460.75</c:v>
                </c:pt>
                <c:pt idx="1375">
                  <c:v>453461</c:v>
                </c:pt>
                <c:pt idx="1376">
                  <c:v>453914.75</c:v>
                </c:pt>
                <c:pt idx="1377">
                  <c:v>451808.36</c:v>
                </c:pt>
                <c:pt idx="1378">
                  <c:v>451808</c:v>
                </c:pt>
                <c:pt idx="1379">
                  <c:v>452941.65</c:v>
                </c:pt>
                <c:pt idx="1380">
                  <c:v>453131.97</c:v>
                </c:pt>
                <c:pt idx="1381">
                  <c:v>453180.49</c:v>
                </c:pt>
                <c:pt idx="1382">
                  <c:v>453180</c:v>
                </c:pt>
                <c:pt idx="1383">
                  <c:v>436299.85</c:v>
                </c:pt>
                <c:pt idx="1384">
                  <c:v>400936.9</c:v>
                </c:pt>
                <c:pt idx="1385">
                  <c:v>400937</c:v>
                </c:pt>
                <c:pt idx="1386">
                  <c:v>298716.2</c:v>
                </c:pt>
                <c:pt idx="1387">
                  <c:v>298557.34999999998</c:v>
                </c:pt>
                <c:pt idx="1388">
                  <c:v>298557</c:v>
                </c:pt>
                <c:pt idx="1389">
                  <c:v>298047.28999999998</c:v>
                </c:pt>
                <c:pt idx="1390">
                  <c:v>298221.59000000003</c:v>
                </c:pt>
                <c:pt idx="1391">
                  <c:v>298222</c:v>
                </c:pt>
                <c:pt idx="1392">
                  <c:v>286090</c:v>
                </c:pt>
                <c:pt idx="1393">
                  <c:v>285690.83</c:v>
                </c:pt>
                <c:pt idx="1394">
                  <c:v>250196.9</c:v>
                </c:pt>
                <c:pt idx="1395">
                  <c:v>250197</c:v>
                </c:pt>
                <c:pt idx="1396">
                  <c:v>242217.24</c:v>
                </c:pt>
                <c:pt idx="1397">
                  <c:v>241916.79</c:v>
                </c:pt>
                <c:pt idx="1398">
                  <c:v>242014.29</c:v>
                </c:pt>
                <c:pt idx="1399">
                  <c:v>260028.48</c:v>
                </c:pt>
                <c:pt idx="1400">
                  <c:v>261085.42</c:v>
                </c:pt>
                <c:pt idx="1401">
                  <c:v>261983.68</c:v>
                </c:pt>
                <c:pt idx="1402">
                  <c:v>262016.54</c:v>
                </c:pt>
                <c:pt idx="1403">
                  <c:v>262016.54</c:v>
                </c:pt>
                <c:pt idx="1404">
                  <c:v>226196.56</c:v>
                </c:pt>
                <c:pt idx="1405">
                  <c:v>245030.16</c:v>
                </c:pt>
                <c:pt idx="1406">
                  <c:v>229633.33</c:v>
                </c:pt>
                <c:pt idx="1407">
                  <c:v>247195.12</c:v>
                </c:pt>
                <c:pt idx="1408">
                  <c:v>247195.12</c:v>
                </c:pt>
                <c:pt idx="1409">
                  <c:v>347649.83</c:v>
                </c:pt>
                <c:pt idx="1410">
                  <c:v>347649.83</c:v>
                </c:pt>
                <c:pt idx="1411">
                  <c:v>341237.68</c:v>
                </c:pt>
                <c:pt idx="1412">
                  <c:v>373525.01</c:v>
                </c:pt>
                <c:pt idx="1413">
                  <c:v>373525.01</c:v>
                </c:pt>
                <c:pt idx="1414">
                  <c:v>336851.39</c:v>
                </c:pt>
                <c:pt idx="1415">
                  <c:v>336851.39</c:v>
                </c:pt>
                <c:pt idx="1416">
                  <c:v>336851.39</c:v>
                </c:pt>
                <c:pt idx="1417">
                  <c:v>360197.14</c:v>
                </c:pt>
                <c:pt idx="1418">
                  <c:v>360197.14</c:v>
                </c:pt>
                <c:pt idx="1419">
                  <c:v>354806.36</c:v>
                </c:pt>
                <c:pt idx="1420">
                  <c:v>354806.36</c:v>
                </c:pt>
                <c:pt idx="1421">
                  <c:v>354806.36</c:v>
                </c:pt>
                <c:pt idx="1422">
                  <c:v>354806.36</c:v>
                </c:pt>
                <c:pt idx="1423">
                  <c:v>317290.98</c:v>
                </c:pt>
                <c:pt idx="1424">
                  <c:v>365898.08</c:v>
                </c:pt>
                <c:pt idx="1425">
                  <c:v>365935.11</c:v>
                </c:pt>
                <c:pt idx="1426">
                  <c:v>365935.11</c:v>
                </c:pt>
                <c:pt idx="1427">
                  <c:v>357664.5</c:v>
                </c:pt>
                <c:pt idx="1428">
                  <c:v>357664.5</c:v>
                </c:pt>
                <c:pt idx="1429">
                  <c:v>357664.5</c:v>
                </c:pt>
                <c:pt idx="1430">
                  <c:v>364108.39</c:v>
                </c:pt>
                <c:pt idx="1431">
                  <c:v>372557.83</c:v>
                </c:pt>
                <c:pt idx="1432">
                  <c:v>372557.83</c:v>
                </c:pt>
                <c:pt idx="1433">
                  <c:v>393073.43</c:v>
                </c:pt>
                <c:pt idx="1434">
                  <c:v>354832.22</c:v>
                </c:pt>
                <c:pt idx="1435">
                  <c:v>354832.22</c:v>
                </c:pt>
                <c:pt idx="1436">
                  <c:v>354832.22</c:v>
                </c:pt>
                <c:pt idx="1437">
                  <c:v>343420.25</c:v>
                </c:pt>
                <c:pt idx="1438">
                  <c:v>343420.25</c:v>
                </c:pt>
                <c:pt idx="1439">
                  <c:v>343582.25</c:v>
                </c:pt>
                <c:pt idx="1440">
                  <c:v>343582.25</c:v>
                </c:pt>
                <c:pt idx="1441">
                  <c:v>343606.26</c:v>
                </c:pt>
                <c:pt idx="1442">
                  <c:v>329221.56</c:v>
                </c:pt>
                <c:pt idx="1443">
                  <c:v>329221.56</c:v>
                </c:pt>
                <c:pt idx="1444">
                  <c:v>288818.46999999997</c:v>
                </c:pt>
                <c:pt idx="1445">
                  <c:v>288818.46999999997</c:v>
                </c:pt>
                <c:pt idx="1446">
                  <c:v>295077.74</c:v>
                </c:pt>
                <c:pt idx="1447">
                  <c:v>313755.08</c:v>
                </c:pt>
                <c:pt idx="1448">
                  <c:v>314129.08</c:v>
                </c:pt>
                <c:pt idx="1449">
                  <c:v>314618.64</c:v>
                </c:pt>
                <c:pt idx="1450">
                  <c:v>312798.90999999997</c:v>
                </c:pt>
                <c:pt idx="1451">
                  <c:v>312798.90999999997</c:v>
                </c:pt>
                <c:pt idx="1452">
                  <c:v>312852.06</c:v>
                </c:pt>
                <c:pt idx="1453">
                  <c:v>276164.93</c:v>
                </c:pt>
                <c:pt idx="1454">
                  <c:v>272175.64</c:v>
                </c:pt>
                <c:pt idx="1455">
                  <c:v>272175.64</c:v>
                </c:pt>
                <c:pt idx="1456">
                  <c:v>272474.64</c:v>
                </c:pt>
                <c:pt idx="1457">
                  <c:v>272174.19</c:v>
                </c:pt>
                <c:pt idx="1458">
                  <c:v>272174.19</c:v>
                </c:pt>
                <c:pt idx="1459">
                  <c:v>272174.19</c:v>
                </c:pt>
                <c:pt idx="1460">
                  <c:v>260821.81</c:v>
                </c:pt>
                <c:pt idx="1461">
                  <c:v>260821.81</c:v>
                </c:pt>
                <c:pt idx="1462">
                  <c:v>260821.81</c:v>
                </c:pt>
                <c:pt idx="1463">
                  <c:v>224274.32</c:v>
                </c:pt>
                <c:pt idx="1464">
                  <c:v>239871.56</c:v>
                </c:pt>
                <c:pt idx="1465">
                  <c:v>260426.56</c:v>
                </c:pt>
                <c:pt idx="1466">
                  <c:v>260426.56</c:v>
                </c:pt>
                <c:pt idx="1467">
                  <c:v>260450.57</c:v>
                </c:pt>
                <c:pt idx="1468">
                  <c:v>260178.68</c:v>
                </c:pt>
                <c:pt idx="1469">
                  <c:v>260178.68</c:v>
                </c:pt>
                <c:pt idx="1470">
                  <c:v>260178.68</c:v>
                </c:pt>
                <c:pt idx="1471">
                  <c:v>298441.25</c:v>
                </c:pt>
                <c:pt idx="1472">
                  <c:v>302391.25</c:v>
                </c:pt>
                <c:pt idx="1473">
                  <c:v>261860.06</c:v>
                </c:pt>
                <c:pt idx="1474">
                  <c:v>261860.06</c:v>
                </c:pt>
                <c:pt idx="1475">
                  <c:v>336740.96</c:v>
                </c:pt>
                <c:pt idx="1476">
                  <c:v>336740.96</c:v>
                </c:pt>
                <c:pt idx="1477">
                  <c:v>396383.57</c:v>
                </c:pt>
                <c:pt idx="1478">
                  <c:v>396383.57</c:v>
                </c:pt>
                <c:pt idx="1479">
                  <c:v>396383.57</c:v>
                </c:pt>
                <c:pt idx="1480">
                  <c:v>406646.33</c:v>
                </c:pt>
                <c:pt idx="1481">
                  <c:v>406646.33</c:v>
                </c:pt>
                <c:pt idx="1482">
                  <c:v>402705.53</c:v>
                </c:pt>
                <c:pt idx="1483">
                  <c:v>402705.53</c:v>
                </c:pt>
                <c:pt idx="1484">
                  <c:v>367227.88</c:v>
                </c:pt>
                <c:pt idx="1485">
                  <c:v>367227.88</c:v>
                </c:pt>
                <c:pt idx="1486">
                  <c:v>361816.56</c:v>
                </c:pt>
                <c:pt idx="1487">
                  <c:v>363428.01</c:v>
                </c:pt>
                <c:pt idx="1488">
                  <c:v>363428.01</c:v>
                </c:pt>
                <c:pt idx="1489">
                  <c:v>388311.01</c:v>
                </c:pt>
                <c:pt idx="1490">
                  <c:v>388648.09</c:v>
                </c:pt>
                <c:pt idx="1491">
                  <c:v>388648.09</c:v>
                </c:pt>
                <c:pt idx="1492">
                  <c:v>388648.09</c:v>
                </c:pt>
                <c:pt idx="1493">
                  <c:v>402388.44</c:v>
                </c:pt>
                <c:pt idx="1494">
                  <c:v>364870.61</c:v>
                </c:pt>
                <c:pt idx="1495">
                  <c:v>364870.61</c:v>
                </c:pt>
                <c:pt idx="1496">
                  <c:v>364270.61</c:v>
                </c:pt>
                <c:pt idx="1497">
                  <c:v>364270.61</c:v>
                </c:pt>
                <c:pt idx="1498">
                  <c:v>364511.61</c:v>
                </c:pt>
                <c:pt idx="1499">
                  <c:v>366287.78</c:v>
                </c:pt>
                <c:pt idx="1500">
                  <c:v>406505.93</c:v>
                </c:pt>
                <c:pt idx="1501">
                  <c:v>406602.93</c:v>
                </c:pt>
                <c:pt idx="1502">
                  <c:v>406700.45</c:v>
                </c:pt>
                <c:pt idx="1503">
                  <c:v>406650.45</c:v>
                </c:pt>
                <c:pt idx="1504">
                  <c:v>372842.39</c:v>
                </c:pt>
                <c:pt idx="1505">
                  <c:v>370078.36</c:v>
                </c:pt>
                <c:pt idx="1506">
                  <c:v>368257.32</c:v>
                </c:pt>
                <c:pt idx="1507">
                  <c:v>369146.3</c:v>
                </c:pt>
                <c:pt idx="1508">
                  <c:v>369146.3</c:v>
                </c:pt>
                <c:pt idx="1509">
                  <c:v>369146.3</c:v>
                </c:pt>
                <c:pt idx="1510">
                  <c:v>369146.3</c:v>
                </c:pt>
                <c:pt idx="1511">
                  <c:v>369318.3</c:v>
                </c:pt>
                <c:pt idx="1512">
                  <c:v>369357.16</c:v>
                </c:pt>
                <c:pt idx="1513">
                  <c:v>369357.16</c:v>
                </c:pt>
                <c:pt idx="1514">
                  <c:v>328912.42</c:v>
                </c:pt>
                <c:pt idx="1515">
                  <c:v>324854.01</c:v>
                </c:pt>
                <c:pt idx="1516">
                  <c:v>373026.22</c:v>
                </c:pt>
                <c:pt idx="1517">
                  <c:v>372715.39</c:v>
                </c:pt>
                <c:pt idx="1518">
                  <c:v>352413.78</c:v>
                </c:pt>
                <c:pt idx="1519">
                  <c:v>324543.71999999997</c:v>
                </c:pt>
                <c:pt idx="1520">
                  <c:v>324510.76</c:v>
                </c:pt>
                <c:pt idx="1521">
                  <c:v>290902.11</c:v>
                </c:pt>
                <c:pt idx="1522">
                  <c:v>290902.11</c:v>
                </c:pt>
                <c:pt idx="1523">
                  <c:v>309578.59999999998</c:v>
                </c:pt>
                <c:pt idx="1524">
                  <c:v>292963.95</c:v>
                </c:pt>
                <c:pt idx="1525">
                  <c:v>345714.5</c:v>
                </c:pt>
                <c:pt idx="1526">
                  <c:v>344030.58</c:v>
                </c:pt>
                <c:pt idx="1527">
                  <c:v>387503.42</c:v>
                </c:pt>
                <c:pt idx="1528">
                  <c:v>387503.42</c:v>
                </c:pt>
                <c:pt idx="1529">
                  <c:v>387503.42</c:v>
                </c:pt>
                <c:pt idx="1530">
                  <c:v>387503.42</c:v>
                </c:pt>
                <c:pt idx="1531">
                  <c:v>411517.59</c:v>
                </c:pt>
                <c:pt idx="1532">
                  <c:v>388476.71</c:v>
                </c:pt>
                <c:pt idx="1533">
                  <c:v>388476.71</c:v>
                </c:pt>
                <c:pt idx="1534">
                  <c:v>350398.25</c:v>
                </c:pt>
                <c:pt idx="1535">
                  <c:v>350398.25</c:v>
                </c:pt>
                <c:pt idx="1536">
                  <c:v>329726.17</c:v>
                </c:pt>
                <c:pt idx="1537">
                  <c:v>329566.19</c:v>
                </c:pt>
                <c:pt idx="1538">
                  <c:v>329566.19</c:v>
                </c:pt>
                <c:pt idx="1539">
                  <c:v>329566.19</c:v>
                </c:pt>
                <c:pt idx="1540">
                  <c:v>330827.17</c:v>
                </c:pt>
                <c:pt idx="1541">
                  <c:v>331382.17</c:v>
                </c:pt>
                <c:pt idx="1542">
                  <c:v>331382.17</c:v>
                </c:pt>
                <c:pt idx="1543">
                  <c:v>331382.17</c:v>
                </c:pt>
                <c:pt idx="1544">
                  <c:v>293888.99</c:v>
                </c:pt>
                <c:pt idx="1545">
                  <c:v>321342.32</c:v>
                </c:pt>
                <c:pt idx="1546">
                  <c:v>328875.55</c:v>
                </c:pt>
                <c:pt idx="1547">
                  <c:v>311978.17</c:v>
                </c:pt>
                <c:pt idx="1548">
                  <c:v>311978.17</c:v>
                </c:pt>
                <c:pt idx="1549">
                  <c:v>323791.65000000002</c:v>
                </c:pt>
                <c:pt idx="1550">
                  <c:v>323791.65000000002</c:v>
                </c:pt>
                <c:pt idx="1551">
                  <c:v>304395.95</c:v>
                </c:pt>
                <c:pt idx="1552">
                  <c:v>304395.95</c:v>
                </c:pt>
                <c:pt idx="1553">
                  <c:v>304395.95</c:v>
                </c:pt>
                <c:pt idx="1554">
                  <c:v>354177.58</c:v>
                </c:pt>
                <c:pt idx="1555">
                  <c:v>354177.58</c:v>
                </c:pt>
                <c:pt idx="1556">
                  <c:v>272443</c:v>
                </c:pt>
                <c:pt idx="1557">
                  <c:v>271968.02</c:v>
                </c:pt>
                <c:pt idx="1558">
                  <c:v>287143.02</c:v>
                </c:pt>
                <c:pt idx="1559">
                  <c:v>287143.02</c:v>
                </c:pt>
                <c:pt idx="1560">
                  <c:v>171561.3</c:v>
                </c:pt>
                <c:pt idx="1561">
                  <c:v>171561.3</c:v>
                </c:pt>
                <c:pt idx="1562">
                  <c:v>194069.16</c:v>
                </c:pt>
                <c:pt idx="1563">
                  <c:v>184965.34</c:v>
                </c:pt>
                <c:pt idx="1564">
                  <c:v>140741.59</c:v>
                </c:pt>
                <c:pt idx="1565">
                  <c:v>140708.63</c:v>
                </c:pt>
                <c:pt idx="1566">
                  <c:v>281239.25</c:v>
                </c:pt>
                <c:pt idx="1567">
                  <c:v>283716.02</c:v>
                </c:pt>
                <c:pt idx="1568">
                  <c:v>283716.02</c:v>
                </c:pt>
                <c:pt idx="1569">
                  <c:v>300477.89</c:v>
                </c:pt>
                <c:pt idx="1570">
                  <c:v>300477.89</c:v>
                </c:pt>
                <c:pt idx="1571">
                  <c:v>301029.09000000003</c:v>
                </c:pt>
                <c:pt idx="1572">
                  <c:v>296794.44</c:v>
                </c:pt>
                <c:pt idx="1573">
                  <c:v>296989.44</c:v>
                </c:pt>
                <c:pt idx="1574">
                  <c:v>274755.46000000002</c:v>
                </c:pt>
                <c:pt idx="1575">
                  <c:v>274755.46000000002</c:v>
                </c:pt>
                <c:pt idx="1576">
                  <c:v>273817.88</c:v>
                </c:pt>
                <c:pt idx="1577">
                  <c:v>273375.03999999998</c:v>
                </c:pt>
                <c:pt idx="1578">
                  <c:v>306978.36</c:v>
                </c:pt>
                <c:pt idx="1579">
                  <c:v>306978.36</c:v>
                </c:pt>
                <c:pt idx="1580">
                  <c:v>266613.8</c:v>
                </c:pt>
                <c:pt idx="1581">
                  <c:v>271838.33</c:v>
                </c:pt>
                <c:pt idx="1582">
                  <c:v>271679.48</c:v>
                </c:pt>
                <c:pt idx="1583">
                  <c:v>271679.48</c:v>
                </c:pt>
                <c:pt idx="1584">
                  <c:v>231449.55</c:v>
                </c:pt>
                <c:pt idx="1585">
                  <c:v>255926.54</c:v>
                </c:pt>
                <c:pt idx="1586">
                  <c:v>256457.54</c:v>
                </c:pt>
                <c:pt idx="1587">
                  <c:v>255982.56</c:v>
                </c:pt>
                <c:pt idx="1588">
                  <c:v>255982.56</c:v>
                </c:pt>
                <c:pt idx="1589">
                  <c:v>255982.56</c:v>
                </c:pt>
                <c:pt idx="1590">
                  <c:v>237408.49</c:v>
                </c:pt>
                <c:pt idx="1591">
                  <c:v>237595.16</c:v>
                </c:pt>
                <c:pt idx="1592">
                  <c:v>237595.16</c:v>
                </c:pt>
                <c:pt idx="1593">
                  <c:v>237595.16</c:v>
                </c:pt>
                <c:pt idx="1594">
                  <c:v>198176.08</c:v>
                </c:pt>
                <c:pt idx="1595">
                  <c:v>206509.41</c:v>
                </c:pt>
                <c:pt idx="1596">
                  <c:v>196309.39</c:v>
                </c:pt>
                <c:pt idx="1597">
                  <c:v>217592.12</c:v>
                </c:pt>
                <c:pt idx="1598">
                  <c:v>217592.12</c:v>
                </c:pt>
                <c:pt idx="1599">
                  <c:v>217592.12</c:v>
                </c:pt>
                <c:pt idx="1600">
                  <c:v>217592.12</c:v>
                </c:pt>
                <c:pt idx="1601">
                  <c:v>221731.08</c:v>
                </c:pt>
                <c:pt idx="1602">
                  <c:v>217798.74</c:v>
                </c:pt>
                <c:pt idx="1603">
                  <c:v>176485.8</c:v>
                </c:pt>
                <c:pt idx="1604">
                  <c:v>176485.8</c:v>
                </c:pt>
                <c:pt idx="1605">
                  <c:v>176485.8</c:v>
                </c:pt>
                <c:pt idx="1606">
                  <c:v>317719.40999999997</c:v>
                </c:pt>
                <c:pt idx="1607">
                  <c:v>317244.43</c:v>
                </c:pt>
                <c:pt idx="1608">
                  <c:v>317244.43</c:v>
                </c:pt>
                <c:pt idx="1609">
                  <c:v>317244.43</c:v>
                </c:pt>
                <c:pt idx="1610">
                  <c:v>317244.43</c:v>
                </c:pt>
                <c:pt idx="1611">
                  <c:v>317244.43</c:v>
                </c:pt>
                <c:pt idx="1612">
                  <c:v>311632.77</c:v>
                </c:pt>
                <c:pt idx="1613">
                  <c:v>311632.77</c:v>
                </c:pt>
                <c:pt idx="1614">
                  <c:v>272576.3</c:v>
                </c:pt>
                <c:pt idx="1615">
                  <c:v>272576.3</c:v>
                </c:pt>
                <c:pt idx="1616">
                  <c:v>262789.33</c:v>
                </c:pt>
                <c:pt idx="1617">
                  <c:v>262314.34999999998</c:v>
                </c:pt>
                <c:pt idx="1618">
                  <c:v>262577.34999999998</c:v>
                </c:pt>
                <c:pt idx="1619">
                  <c:v>262577.34999999998</c:v>
                </c:pt>
                <c:pt idx="1620">
                  <c:v>359115.13</c:v>
                </c:pt>
                <c:pt idx="1621">
                  <c:v>359115.13</c:v>
                </c:pt>
                <c:pt idx="1622">
                  <c:v>359115.13</c:v>
                </c:pt>
                <c:pt idx="1623">
                  <c:v>317912.34000000003</c:v>
                </c:pt>
                <c:pt idx="1624">
                  <c:v>318373.34000000003</c:v>
                </c:pt>
                <c:pt idx="1625">
                  <c:v>319350.08</c:v>
                </c:pt>
                <c:pt idx="1626">
                  <c:v>329131.38</c:v>
                </c:pt>
                <c:pt idx="1627">
                  <c:v>329131.38</c:v>
                </c:pt>
                <c:pt idx="1628">
                  <c:v>329131.38</c:v>
                </c:pt>
                <c:pt idx="1629">
                  <c:v>329131.38</c:v>
                </c:pt>
                <c:pt idx="1630">
                  <c:v>358518.98</c:v>
                </c:pt>
                <c:pt idx="1631">
                  <c:v>388026.98</c:v>
                </c:pt>
                <c:pt idx="1632">
                  <c:v>388026.98</c:v>
                </c:pt>
                <c:pt idx="1633">
                  <c:v>388026.98</c:v>
                </c:pt>
                <c:pt idx="1634">
                  <c:v>347383.35</c:v>
                </c:pt>
                <c:pt idx="1635">
                  <c:v>347507.35</c:v>
                </c:pt>
                <c:pt idx="1636">
                  <c:v>347648.35</c:v>
                </c:pt>
                <c:pt idx="1637">
                  <c:v>347173.37</c:v>
                </c:pt>
                <c:pt idx="1638">
                  <c:v>347173.37</c:v>
                </c:pt>
                <c:pt idx="1639">
                  <c:v>347422.37</c:v>
                </c:pt>
                <c:pt idx="1640">
                  <c:v>347422.37</c:v>
                </c:pt>
                <c:pt idx="1641">
                  <c:v>353674.1</c:v>
                </c:pt>
                <c:pt idx="1642">
                  <c:v>355815.56</c:v>
                </c:pt>
                <c:pt idx="1643">
                  <c:v>319836.78000000003</c:v>
                </c:pt>
                <c:pt idx="1644">
                  <c:v>296807.06</c:v>
                </c:pt>
                <c:pt idx="1645">
                  <c:v>296807.06</c:v>
                </c:pt>
                <c:pt idx="1646">
                  <c:v>291257.96000000002</c:v>
                </c:pt>
                <c:pt idx="1647">
                  <c:v>290782.98</c:v>
                </c:pt>
                <c:pt idx="1648">
                  <c:v>290782.98</c:v>
                </c:pt>
                <c:pt idx="1649">
                  <c:v>290754.14</c:v>
                </c:pt>
                <c:pt idx="1650">
                  <c:v>290450.96000000002</c:v>
                </c:pt>
                <c:pt idx="1651">
                  <c:v>282840.40000000002</c:v>
                </c:pt>
                <c:pt idx="1652">
                  <c:v>318945.52</c:v>
                </c:pt>
                <c:pt idx="1653">
                  <c:v>318945.52</c:v>
                </c:pt>
                <c:pt idx="1654">
                  <c:v>278401.03999999998</c:v>
                </c:pt>
                <c:pt idx="1655">
                  <c:v>277801.03999999998</c:v>
                </c:pt>
                <c:pt idx="1656">
                  <c:v>277801.03999999998</c:v>
                </c:pt>
                <c:pt idx="1657">
                  <c:v>277326.06</c:v>
                </c:pt>
                <c:pt idx="1658">
                  <c:v>277326.06</c:v>
                </c:pt>
                <c:pt idx="1659">
                  <c:v>254730.8</c:v>
                </c:pt>
                <c:pt idx="1660">
                  <c:v>254730.8</c:v>
                </c:pt>
                <c:pt idx="1661">
                  <c:v>277867.62</c:v>
                </c:pt>
                <c:pt idx="1662">
                  <c:v>278679.81</c:v>
                </c:pt>
                <c:pt idx="1663">
                  <c:v>278711.32</c:v>
                </c:pt>
                <c:pt idx="1664">
                  <c:v>238555.14</c:v>
                </c:pt>
                <c:pt idx="1665">
                  <c:v>238555.14</c:v>
                </c:pt>
                <c:pt idx="1666">
                  <c:v>238555.14</c:v>
                </c:pt>
                <c:pt idx="1667">
                  <c:v>227371.3</c:v>
                </c:pt>
                <c:pt idx="1668">
                  <c:v>227907.61</c:v>
                </c:pt>
                <c:pt idx="1669">
                  <c:v>227907.61</c:v>
                </c:pt>
                <c:pt idx="1670">
                  <c:v>250036.67</c:v>
                </c:pt>
                <c:pt idx="1671">
                  <c:v>255964.71</c:v>
                </c:pt>
                <c:pt idx="1672">
                  <c:v>315493.2</c:v>
                </c:pt>
                <c:pt idx="1673">
                  <c:v>315493.2</c:v>
                </c:pt>
                <c:pt idx="1674">
                  <c:v>332334.94</c:v>
                </c:pt>
                <c:pt idx="1675">
                  <c:v>332334.94</c:v>
                </c:pt>
                <c:pt idx="1676">
                  <c:v>370869.56</c:v>
                </c:pt>
                <c:pt idx="1677">
                  <c:v>370394.58</c:v>
                </c:pt>
                <c:pt idx="1678">
                  <c:v>370394.58</c:v>
                </c:pt>
                <c:pt idx="1679">
                  <c:v>346842.59</c:v>
                </c:pt>
                <c:pt idx="1680">
                  <c:v>346842.59</c:v>
                </c:pt>
                <c:pt idx="1681">
                  <c:v>346842.59</c:v>
                </c:pt>
                <c:pt idx="1682">
                  <c:v>347076.59</c:v>
                </c:pt>
                <c:pt idx="1683">
                  <c:v>308665.48</c:v>
                </c:pt>
                <c:pt idx="1684">
                  <c:v>308665.48</c:v>
                </c:pt>
                <c:pt idx="1685">
                  <c:v>320782.46999999997</c:v>
                </c:pt>
                <c:pt idx="1686">
                  <c:v>317911.17</c:v>
                </c:pt>
                <c:pt idx="1687">
                  <c:v>317436.19</c:v>
                </c:pt>
                <c:pt idx="1688">
                  <c:v>317436.19</c:v>
                </c:pt>
                <c:pt idx="1689">
                  <c:v>428386.24</c:v>
                </c:pt>
                <c:pt idx="1690">
                  <c:v>428386.24</c:v>
                </c:pt>
                <c:pt idx="1691">
                  <c:v>425851.86</c:v>
                </c:pt>
                <c:pt idx="1692">
                  <c:v>453679.91</c:v>
                </c:pt>
                <c:pt idx="1693">
                  <c:v>412431.05</c:v>
                </c:pt>
                <c:pt idx="1694">
                  <c:v>412402.21</c:v>
                </c:pt>
                <c:pt idx="1695">
                  <c:v>417372.63</c:v>
                </c:pt>
                <c:pt idx="1696">
                  <c:v>415449.23</c:v>
                </c:pt>
                <c:pt idx="1697">
                  <c:v>435708</c:v>
                </c:pt>
                <c:pt idx="1698">
                  <c:v>435708</c:v>
                </c:pt>
                <c:pt idx="1699">
                  <c:v>435708</c:v>
                </c:pt>
                <c:pt idx="1700">
                  <c:v>435708</c:v>
                </c:pt>
                <c:pt idx="1701">
                  <c:v>435708</c:v>
                </c:pt>
                <c:pt idx="1702">
                  <c:v>436040</c:v>
                </c:pt>
                <c:pt idx="1703">
                  <c:v>427559.36</c:v>
                </c:pt>
                <c:pt idx="1704">
                  <c:v>427559.36</c:v>
                </c:pt>
                <c:pt idx="1705">
                  <c:v>427559.36</c:v>
                </c:pt>
                <c:pt idx="1706">
                  <c:v>388161.54</c:v>
                </c:pt>
                <c:pt idx="1707">
                  <c:v>388161.54</c:v>
                </c:pt>
                <c:pt idx="1708">
                  <c:v>381514.53</c:v>
                </c:pt>
                <c:pt idx="1709">
                  <c:v>389507.01</c:v>
                </c:pt>
                <c:pt idx="1710">
                  <c:v>389507.01</c:v>
                </c:pt>
                <c:pt idx="1711">
                  <c:v>389507.01</c:v>
                </c:pt>
                <c:pt idx="1712">
                  <c:v>414035.71</c:v>
                </c:pt>
                <c:pt idx="1713">
                  <c:v>413985.71</c:v>
                </c:pt>
                <c:pt idx="1714">
                  <c:v>413985.71</c:v>
                </c:pt>
                <c:pt idx="1715">
                  <c:v>411319.14</c:v>
                </c:pt>
                <c:pt idx="1716">
                  <c:v>411160.29</c:v>
                </c:pt>
                <c:pt idx="1717">
                  <c:v>411160.29</c:v>
                </c:pt>
                <c:pt idx="1718">
                  <c:v>411160.29</c:v>
                </c:pt>
                <c:pt idx="1719">
                  <c:v>372476.51</c:v>
                </c:pt>
                <c:pt idx="1720">
                  <c:v>376660.01</c:v>
                </c:pt>
                <c:pt idx="1721">
                  <c:v>397613.66</c:v>
                </c:pt>
                <c:pt idx="1722">
                  <c:v>387878.55</c:v>
                </c:pt>
                <c:pt idx="1723">
                  <c:v>387403.57</c:v>
                </c:pt>
                <c:pt idx="1724">
                  <c:v>387403.57</c:v>
                </c:pt>
                <c:pt idx="1725">
                  <c:v>387403.57</c:v>
                </c:pt>
                <c:pt idx="1726">
                  <c:v>417675.61</c:v>
                </c:pt>
                <c:pt idx="1727">
                  <c:v>417675.61</c:v>
                </c:pt>
                <c:pt idx="1728">
                  <c:v>417675.61</c:v>
                </c:pt>
                <c:pt idx="1729">
                  <c:v>412270.74</c:v>
                </c:pt>
                <c:pt idx="1730">
                  <c:v>412270.74</c:v>
                </c:pt>
                <c:pt idx="1731">
                  <c:v>412270.74</c:v>
                </c:pt>
                <c:pt idx="1732">
                  <c:v>412270.74</c:v>
                </c:pt>
                <c:pt idx="1733">
                  <c:v>368529.24</c:v>
                </c:pt>
                <c:pt idx="1734">
                  <c:v>369146.24</c:v>
                </c:pt>
                <c:pt idx="1735">
                  <c:v>369146.24</c:v>
                </c:pt>
                <c:pt idx="1736">
                  <c:v>423875.79</c:v>
                </c:pt>
                <c:pt idx="1737">
                  <c:v>423875.79</c:v>
                </c:pt>
                <c:pt idx="1738">
                  <c:v>423400.81</c:v>
                </c:pt>
                <c:pt idx="1739">
                  <c:v>423210.99</c:v>
                </c:pt>
                <c:pt idx="1740">
                  <c:v>473210.99</c:v>
                </c:pt>
                <c:pt idx="1741">
                  <c:v>470084.64</c:v>
                </c:pt>
                <c:pt idx="1742">
                  <c:v>470084.64</c:v>
                </c:pt>
                <c:pt idx="1743">
                  <c:v>424767.46</c:v>
                </c:pt>
                <c:pt idx="1744">
                  <c:v>424767.46</c:v>
                </c:pt>
                <c:pt idx="1745">
                  <c:v>424767.46</c:v>
                </c:pt>
                <c:pt idx="1746">
                  <c:v>424767.46</c:v>
                </c:pt>
                <c:pt idx="1747">
                  <c:v>442650.11</c:v>
                </c:pt>
                <c:pt idx="1748">
                  <c:v>442518.27</c:v>
                </c:pt>
                <c:pt idx="1749">
                  <c:v>442518.27</c:v>
                </c:pt>
                <c:pt idx="1750">
                  <c:v>442518.27</c:v>
                </c:pt>
                <c:pt idx="1751">
                  <c:v>442518.27</c:v>
                </c:pt>
                <c:pt idx="1752">
                  <c:v>420942.38</c:v>
                </c:pt>
                <c:pt idx="1753">
                  <c:v>379216.39</c:v>
                </c:pt>
                <c:pt idx="1754">
                  <c:v>379216.39</c:v>
                </c:pt>
                <c:pt idx="1755">
                  <c:v>379216.39</c:v>
                </c:pt>
                <c:pt idx="1756">
                  <c:v>379216.39</c:v>
                </c:pt>
                <c:pt idx="1757">
                  <c:v>383318.34</c:v>
                </c:pt>
                <c:pt idx="1758">
                  <c:v>383318.34</c:v>
                </c:pt>
                <c:pt idx="1759">
                  <c:v>383318.34</c:v>
                </c:pt>
                <c:pt idx="1760">
                  <c:v>378306.47</c:v>
                </c:pt>
                <c:pt idx="1761">
                  <c:v>385097.98</c:v>
                </c:pt>
                <c:pt idx="1762">
                  <c:v>385399.2</c:v>
                </c:pt>
                <c:pt idx="1763">
                  <c:v>385399.2</c:v>
                </c:pt>
                <c:pt idx="1764">
                  <c:v>343338.22</c:v>
                </c:pt>
                <c:pt idx="1765">
                  <c:v>339355.16</c:v>
                </c:pt>
                <c:pt idx="1766">
                  <c:v>346945.63</c:v>
                </c:pt>
                <c:pt idx="1767">
                  <c:v>346470.13</c:v>
                </c:pt>
                <c:pt idx="1768">
                  <c:v>346470.13</c:v>
                </c:pt>
                <c:pt idx="1769">
                  <c:v>346470.13</c:v>
                </c:pt>
                <c:pt idx="1770">
                  <c:v>432503.36</c:v>
                </c:pt>
                <c:pt idx="1771">
                  <c:v>432600.88</c:v>
                </c:pt>
                <c:pt idx="1772">
                  <c:v>432600.88</c:v>
                </c:pt>
                <c:pt idx="1773">
                  <c:v>432600.88</c:v>
                </c:pt>
                <c:pt idx="1774">
                  <c:v>432648.4</c:v>
                </c:pt>
                <c:pt idx="1775">
                  <c:v>432648.4</c:v>
                </c:pt>
                <c:pt idx="1776">
                  <c:v>376288.8</c:v>
                </c:pt>
                <c:pt idx="1777">
                  <c:v>375846.51</c:v>
                </c:pt>
                <c:pt idx="1778">
                  <c:v>375246.51</c:v>
                </c:pt>
                <c:pt idx="1779">
                  <c:v>375703.51</c:v>
                </c:pt>
                <c:pt idx="1780">
                  <c:v>375837.32</c:v>
                </c:pt>
                <c:pt idx="1781">
                  <c:v>358313.37</c:v>
                </c:pt>
                <c:pt idx="1782">
                  <c:v>362655.36</c:v>
                </c:pt>
                <c:pt idx="1783">
                  <c:v>362655.36</c:v>
                </c:pt>
                <c:pt idx="1784">
                  <c:v>296234.34999999998</c:v>
                </c:pt>
                <c:pt idx="1785">
                  <c:v>309641.15000000002</c:v>
                </c:pt>
                <c:pt idx="1786">
                  <c:v>316446.05</c:v>
                </c:pt>
                <c:pt idx="1787">
                  <c:v>315066.78000000003</c:v>
                </c:pt>
                <c:pt idx="1788">
                  <c:v>314907.93</c:v>
                </c:pt>
                <c:pt idx="1789">
                  <c:v>314907.93</c:v>
                </c:pt>
                <c:pt idx="1790">
                  <c:v>314907.93</c:v>
                </c:pt>
                <c:pt idx="1791">
                  <c:v>315650.68</c:v>
                </c:pt>
                <c:pt idx="1792">
                  <c:v>291355.65000000002</c:v>
                </c:pt>
                <c:pt idx="1793">
                  <c:v>270294.52</c:v>
                </c:pt>
                <c:pt idx="1794">
                  <c:v>269684.28999999998</c:v>
                </c:pt>
                <c:pt idx="1795">
                  <c:v>269684.28999999998</c:v>
                </c:pt>
                <c:pt idx="1796">
                  <c:v>259972.42</c:v>
                </c:pt>
                <c:pt idx="1797">
                  <c:v>282694.13</c:v>
                </c:pt>
                <c:pt idx="1798">
                  <c:v>282636.44</c:v>
                </c:pt>
                <c:pt idx="1799">
                  <c:v>298296.44</c:v>
                </c:pt>
                <c:pt idx="1800">
                  <c:v>298259.44</c:v>
                </c:pt>
                <c:pt idx="1801">
                  <c:v>286670.99</c:v>
                </c:pt>
                <c:pt idx="1802">
                  <c:v>329121.65000000002</c:v>
                </c:pt>
                <c:pt idx="1803">
                  <c:v>287265.95</c:v>
                </c:pt>
                <c:pt idx="1804">
                  <c:v>291765.95</c:v>
                </c:pt>
                <c:pt idx="1805">
                  <c:v>291800.28000000003</c:v>
                </c:pt>
                <c:pt idx="1806">
                  <c:v>298342.23</c:v>
                </c:pt>
                <c:pt idx="1807">
                  <c:v>292633.62</c:v>
                </c:pt>
                <c:pt idx="1808">
                  <c:v>292633.62</c:v>
                </c:pt>
                <c:pt idx="1809">
                  <c:v>325449.82</c:v>
                </c:pt>
                <c:pt idx="1810">
                  <c:v>325449.82</c:v>
                </c:pt>
                <c:pt idx="1811">
                  <c:v>346374.29</c:v>
                </c:pt>
                <c:pt idx="1812">
                  <c:v>341754.4</c:v>
                </c:pt>
                <c:pt idx="1813">
                  <c:v>330670.37</c:v>
                </c:pt>
                <c:pt idx="1814">
                  <c:v>338045.7</c:v>
                </c:pt>
                <c:pt idx="1815">
                  <c:v>338604.7</c:v>
                </c:pt>
                <c:pt idx="1816">
                  <c:v>329491.15000000002</c:v>
                </c:pt>
                <c:pt idx="1817">
                  <c:v>329106.55</c:v>
                </c:pt>
                <c:pt idx="1818">
                  <c:v>329106.55</c:v>
                </c:pt>
                <c:pt idx="1819">
                  <c:v>366692.56</c:v>
                </c:pt>
                <c:pt idx="1820">
                  <c:v>368956.85</c:v>
                </c:pt>
                <c:pt idx="1821">
                  <c:v>390880.67</c:v>
                </c:pt>
                <c:pt idx="1822">
                  <c:v>414120.74</c:v>
                </c:pt>
                <c:pt idx="1823">
                  <c:v>424130.52</c:v>
                </c:pt>
                <c:pt idx="1824">
                  <c:v>424130.52</c:v>
                </c:pt>
                <c:pt idx="1825">
                  <c:v>424163.34</c:v>
                </c:pt>
                <c:pt idx="1826">
                  <c:v>422350.37</c:v>
                </c:pt>
                <c:pt idx="1827">
                  <c:v>421965.77</c:v>
                </c:pt>
                <c:pt idx="1828">
                  <c:v>419047.88</c:v>
                </c:pt>
                <c:pt idx="1829">
                  <c:v>425165.2</c:v>
                </c:pt>
                <c:pt idx="1830">
                  <c:v>415468.61</c:v>
                </c:pt>
                <c:pt idx="1831">
                  <c:v>444345.89</c:v>
                </c:pt>
                <c:pt idx="1832">
                  <c:v>444345.89</c:v>
                </c:pt>
                <c:pt idx="1833">
                  <c:v>472758.17</c:v>
                </c:pt>
                <c:pt idx="1834">
                  <c:v>431931.97</c:v>
                </c:pt>
                <c:pt idx="1835">
                  <c:v>435079.42</c:v>
                </c:pt>
                <c:pt idx="1836">
                  <c:v>424040.9</c:v>
                </c:pt>
                <c:pt idx="1837">
                  <c:v>449683.31</c:v>
                </c:pt>
                <c:pt idx="1838">
                  <c:v>449683.31</c:v>
                </c:pt>
                <c:pt idx="1839">
                  <c:v>449683.31</c:v>
                </c:pt>
                <c:pt idx="1840">
                  <c:v>449683.31</c:v>
                </c:pt>
                <c:pt idx="1841">
                  <c:v>425038.75</c:v>
                </c:pt>
                <c:pt idx="1842">
                  <c:v>425038.75</c:v>
                </c:pt>
                <c:pt idx="1843">
                  <c:v>381899.02</c:v>
                </c:pt>
                <c:pt idx="1844">
                  <c:v>403291.29</c:v>
                </c:pt>
                <c:pt idx="1845">
                  <c:v>398523.39</c:v>
                </c:pt>
                <c:pt idx="1846">
                  <c:v>405256.29</c:v>
                </c:pt>
                <c:pt idx="1847">
                  <c:v>404915.18</c:v>
                </c:pt>
                <c:pt idx="1848">
                  <c:v>403828.39</c:v>
                </c:pt>
                <c:pt idx="1849">
                  <c:v>403828.39</c:v>
                </c:pt>
                <c:pt idx="1850">
                  <c:v>434721.04</c:v>
                </c:pt>
                <c:pt idx="1851">
                  <c:v>421127.98</c:v>
                </c:pt>
                <c:pt idx="1852">
                  <c:v>420969.13</c:v>
                </c:pt>
                <c:pt idx="1853">
                  <c:v>420969.13</c:v>
                </c:pt>
                <c:pt idx="1854">
                  <c:v>379345</c:v>
                </c:pt>
                <c:pt idx="1855">
                  <c:v>379345</c:v>
                </c:pt>
                <c:pt idx="1856">
                  <c:v>379345</c:v>
                </c:pt>
                <c:pt idx="1857">
                  <c:v>402577.21</c:v>
                </c:pt>
                <c:pt idx="1858">
                  <c:v>402733.09</c:v>
                </c:pt>
                <c:pt idx="1859">
                  <c:v>403316.09</c:v>
                </c:pt>
                <c:pt idx="1860">
                  <c:v>403316.09</c:v>
                </c:pt>
                <c:pt idx="1861">
                  <c:v>385876.12</c:v>
                </c:pt>
                <c:pt idx="1862">
                  <c:v>351812.45</c:v>
                </c:pt>
                <c:pt idx="1863">
                  <c:v>351812.45</c:v>
                </c:pt>
                <c:pt idx="1864">
                  <c:v>368195.43</c:v>
                </c:pt>
                <c:pt idx="1865">
                  <c:v>368195.43</c:v>
                </c:pt>
                <c:pt idx="1866">
                  <c:v>368195.43</c:v>
                </c:pt>
                <c:pt idx="1867">
                  <c:v>368195.43</c:v>
                </c:pt>
                <c:pt idx="1868">
                  <c:v>367810.83</c:v>
                </c:pt>
                <c:pt idx="1869">
                  <c:v>367851.39</c:v>
                </c:pt>
                <c:pt idx="1870">
                  <c:v>367851.39</c:v>
                </c:pt>
                <c:pt idx="1871">
                  <c:v>367851.39</c:v>
                </c:pt>
                <c:pt idx="1872">
                  <c:v>356642.57</c:v>
                </c:pt>
                <c:pt idx="1873">
                  <c:v>356642.57</c:v>
                </c:pt>
                <c:pt idx="1874">
                  <c:v>308974.21000000002</c:v>
                </c:pt>
                <c:pt idx="1875">
                  <c:v>338753.05</c:v>
                </c:pt>
                <c:pt idx="1876">
                  <c:v>391263.14</c:v>
                </c:pt>
                <c:pt idx="1877">
                  <c:v>391263.14</c:v>
                </c:pt>
                <c:pt idx="1878">
                  <c:v>449119.47</c:v>
                </c:pt>
                <c:pt idx="1879">
                  <c:v>449119.47</c:v>
                </c:pt>
                <c:pt idx="1880">
                  <c:v>448869.47</c:v>
                </c:pt>
                <c:pt idx="1881">
                  <c:v>448869.47</c:v>
                </c:pt>
                <c:pt idx="1882">
                  <c:v>438853.17</c:v>
                </c:pt>
                <c:pt idx="1883">
                  <c:v>439117.17</c:v>
                </c:pt>
                <c:pt idx="1884">
                  <c:v>407163.47</c:v>
                </c:pt>
                <c:pt idx="1885">
                  <c:v>415855.1</c:v>
                </c:pt>
                <c:pt idx="1886">
                  <c:v>415855.1</c:v>
                </c:pt>
                <c:pt idx="1887">
                  <c:v>412361.18</c:v>
                </c:pt>
                <c:pt idx="1888">
                  <c:v>411976.58</c:v>
                </c:pt>
                <c:pt idx="1889">
                  <c:v>412491.58</c:v>
                </c:pt>
                <c:pt idx="1890">
                  <c:v>412491.58</c:v>
                </c:pt>
                <c:pt idx="1891">
                  <c:v>412491.58</c:v>
                </c:pt>
                <c:pt idx="1892">
                  <c:v>421884.75</c:v>
                </c:pt>
                <c:pt idx="1893">
                  <c:v>421884.75</c:v>
                </c:pt>
                <c:pt idx="1894">
                  <c:v>422030.75</c:v>
                </c:pt>
                <c:pt idx="1895">
                  <c:v>384440.18</c:v>
                </c:pt>
                <c:pt idx="1896">
                  <c:v>383701.41</c:v>
                </c:pt>
                <c:pt idx="1897">
                  <c:v>384859.49</c:v>
                </c:pt>
                <c:pt idx="1898">
                  <c:v>412308.62</c:v>
                </c:pt>
                <c:pt idx="1899">
                  <c:v>412308.62</c:v>
                </c:pt>
                <c:pt idx="1900">
                  <c:v>412282.92</c:v>
                </c:pt>
                <c:pt idx="1901">
                  <c:v>402422.58</c:v>
                </c:pt>
                <c:pt idx="1902">
                  <c:v>402266.7</c:v>
                </c:pt>
                <c:pt idx="1903">
                  <c:v>407981.99</c:v>
                </c:pt>
                <c:pt idx="1904">
                  <c:v>373219.37</c:v>
                </c:pt>
                <c:pt idx="1905">
                  <c:v>373219.37</c:v>
                </c:pt>
                <c:pt idx="1906">
                  <c:v>373219.37</c:v>
                </c:pt>
                <c:pt idx="1907">
                  <c:v>376696.27</c:v>
                </c:pt>
                <c:pt idx="1908">
                  <c:v>376906.67</c:v>
                </c:pt>
                <c:pt idx="1909">
                  <c:v>377111.67</c:v>
                </c:pt>
                <c:pt idx="1910">
                  <c:v>378617.91</c:v>
                </c:pt>
                <c:pt idx="1911">
                  <c:v>378999.91</c:v>
                </c:pt>
                <c:pt idx="1912">
                  <c:v>399013.52</c:v>
                </c:pt>
                <c:pt idx="1913">
                  <c:v>399052</c:v>
                </c:pt>
                <c:pt idx="1914">
                  <c:v>398802</c:v>
                </c:pt>
                <c:pt idx="1915">
                  <c:v>415884.95</c:v>
                </c:pt>
                <c:pt idx="1916">
                  <c:v>416084.95</c:v>
                </c:pt>
                <c:pt idx="1917">
                  <c:v>409180.98</c:v>
                </c:pt>
                <c:pt idx="1918">
                  <c:v>411006.01</c:v>
                </c:pt>
                <c:pt idx="1919">
                  <c:v>411445.54</c:v>
                </c:pt>
                <c:pt idx="1920">
                  <c:v>412425.15</c:v>
                </c:pt>
                <c:pt idx="1921">
                  <c:v>412425.15</c:v>
                </c:pt>
                <c:pt idx="1922">
                  <c:v>387088.04</c:v>
                </c:pt>
                <c:pt idx="1923">
                  <c:v>405857.22</c:v>
                </c:pt>
                <c:pt idx="1924">
                  <c:v>404076.54</c:v>
                </c:pt>
                <c:pt idx="1925">
                  <c:v>390920.58</c:v>
                </c:pt>
                <c:pt idx="1926">
                  <c:v>390920.58</c:v>
                </c:pt>
                <c:pt idx="1927">
                  <c:v>386738.53</c:v>
                </c:pt>
                <c:pt idx="1928">
                  <c:v>384493.66</c:v>
                </c:pt>
                <c:pt idx="1929">
                  <c:v>385493.66</c:v>
                </c:pt>
                <c:pt idx="1930">
                  <c:v>385493.66</c:v>
                </c:pt>
                <c:pt idx="1931">
                  <c:v>385493.66</c:v>
                </c:pt>
                <c:pt idx="1932">
                  <c:v>385493.66</c:v>
                </c:pt>
                <c:pt idx="1933">
                  <c:v>386021.66</c:v>
                </c:pt>
                <c:pt idx="1934">
                  <c:v>406742.83</c:v>
                </c:pt>
                <c:pt idx="1935">
                  <c:v>370565.1</c:v>
                </c:pt>
                <c:pt idx="1936">
                  <c:v>370565.1</c:v>
                </c:pt>
                <c:pt idx="1937">
                  <c:v>396789.54</c:v>
                </c:pt>
                <c:pt idx="1938">
                  <c:v>396404.94</c:v>
                </c:pt>
                <c:pt idx="1939">
                  <c:v>394335.05</c:v>
                </c:pt>
                <c:pt idx="1940">
                  <c:v>394335.05</c:v>
                </c:pt>
                <c:pt idx="1941">
                  <c:v>394359.06</c:v>
                </c:pt>
                <c:pt idx="1942">
                  <c:v>388296.14</c:v>
                </c:pt>
                <c:pt idx="1943">
                  <c:v>388621.14</c:v>
                </c:pt>
                <c:pt idx="1944">
                  <c:v>388621.14</c:v>
                </c:pt>
                <c:pt idx="1945">
                  <c:v>388621.14</c:v>
                </c:pt>
                <c:pt idx="1946">
                  <c:v>350982.96</c:v>
                </c:pt>
                <c:pt idx="1947">
                  <c:v>451232.96</c:v>
                </c:pt>
                <c:pt idx="1948">
                  <c:v>499724.02</c:v>
                </c:pt>
                <c:pt idx="1949">
                  <c:v>519129.97</c:v>
                </c:pt>
                <c:pt idx="1950">
                  <c:v>494825.52</c:v>
                </c:pt>
                <c:pt idx="1951">
                  <c:v>494825.52</c:v>
                </c:pt>
                <c:pt idx="1952">
                  <c:v>494825.52</c:v>
                </c:pt>
                <c:pt idx="1953">
                  <c:v>494825.52</c:v>
                </c:pt>
                <c:pt idx="1954">
                  <c:v>494875.52</c:v>
                </c:pt>
                <c:pt idx="1955">
                  <c:v>492868.56</c:v>
                </c:pt>
                <c:pt idx="1956">
                  <c:v>492868.56</c:v>
                </c:pt>
                <c:pt idx="1957">
                  <c:v>492868.56</c:v>
                </c:pt>
                <c:pt idx="1958">
                  <c:v>494218.56</c:v>
                </c:pt>
                <c:pt idx="1959">
                  <c:v>452326.96</c:v>
                </c:pt>
                <c:pt idx="1960">
                  <c:v>475248.53</c:v>
                </c:pt>
                <c:pt idx="1961">
                  <c:v>485579.7</c:v>
                </c:pt>
                <c:pt idx="1962">
                  <c:v>483237.86</c:v>
                </c:pt>
                <c:pt idx="1963">
                  <c:v>482174.8</c:v>
                </c:pt>
                <c:pt idx="1964">
                  <c:v>482199.8</c:v>
                </c:pt>
                <c:pt idx="1965">
                  <c:v>479406.91</c:v>
                </c:pt>
                <c:pt idx="1966">
                  <c:v>470500.67</c:v>
                </c:pt>
                <c:pt idx="1967">
                  <c:v>472716.17</c:v>
                </c:pt>
                <c:pt idx="1968">
                  <c:v>433269.34</c:v>
                </c:pt>
                <c:pt idx="1969">
                  <c:v>433243.64</c:v>
                </c:pt>
                <c:pt idx="1970">
                  <c:v>469337.63</c:v>
                </c:pt>
                <c:pt idx="1971">
                  <c:v>469337.63</c:v>
                </c:pt>
                <c:pt idx="1972">
                  <c:v>468953.03</c:v>
                </c:pt>
                <c:pt idx="1973">
                  <c:v>459905.29</c:v>
                </c:pt>
                <c:pt idx="1974">
                  <c:v>459905.29</c:v>
                </c:pt>
                <c:pt idx="1975">
                  <c:v>459905.29</c:v>
                </c:pt>
                <c:pt idx="1976">
                  <c:v>459905.29</c:v>
                </c:pt>
                <c:pt idx="1977">
                  <c:v>459905.29</c:v>
                </c:pt>
                <c:pt idx="1978">
                  <c:v>459905.29</c:v>
                </c:pt>
                <c:pt idx="1979">
                  <c:v>423446.93</c:v>
                </c:pt>
                <c:pt idx="1980">
                  <c:v>423446.93</c:v>
                </c:pt>
                <c:pt idx="1981">
                  <c:v>407711.69</c:v>
                </c:pt>
                <c:pt idx="1982">
                  <c:v>407733.05</c:v>
                </c:pt>
                <c:pt idx="1983">
                  <c:v>409787.27</c:v>
                </c:pt>
                <c:pt idx="1984">
                  <c:v>409787.27</c:v>
                </c:pt>
                <c:pt idx="1985">
                  <c:v>410017.27</c:v>
                </c:pt>
                <c:pt idx="1986">
                  <c:v>418625.7</c:v>
                </c:pt>
                <c:pt idx="1987">
                  <c:v>418550.7</c:v>
                </c:pt>
                <c:pt idx="1988">
                  <c:v>381523.11</c:v>
                </c:pt>
                <c:pt idx="1989">
                  <c:v>381523.11</c:v>
                </c:pt>
                <c:pt idx="1990">
                  <c:v>381523.11</c:v>
                </c:pt>
                <c:pt idx="1991">
                  <c:v>381497.41</c:v>
                </c:pt>
                <c:pt idx="1992">
                  <c:v>381524.92</c:v>
                </c:pt>
                <c:pt idx="1993">
                  <c:v>381524.92</c:v>
                </c:pt>
                <c:pt idx="1994">
                  <c:v>403601.43</c:v>
                </c:pt>
                <c:pt idx="1995">
                  <c:v>403601.43</c:v>
                </c:pt>
                <c:pt idx="1996">
                  <c:v>388696.73</c:v>
                </c:pt>
                <c:pt idx="1997">
                  <c:v>388696.73</c:v>
                </c:pt>
                <c:pt idx="1998">
                  <c:v>354074.98</c:v>
                </c:pt>
                <c:pt idx="1999">
                  <c:v>354074.98</c:v>
                </c:pt>
                <c:pt idx="2000">
                  <c:v>412115.27</c:v>
                </c:pt>
                <c:pt idx="2001">
                  <c:v>421170.44</c:v>
                </c:pt>
                <c:pt idx="2002">
                  <c:v>443466.68</c:v>
                </c:pt>
                <c:pt idx="2003">
                  <c:v>443466.68</c:v>
                </c:pt>
                <c:pt idx="2004">
                  <c:v>443467.28</c:v>
                </c:pt>
                <c:pt idx="2005">
                  <c:v>467133.83</c:v>
                </c:pt>
                <c:pt idx="2006">
                  <c:v>457231.63</c:v>
                </c:pt>
                <c:pt idx="2007">
                  <c:v>457180.17</c:v>
                </c:pt>
                <c:pt idx="2008">
                  <c:v>413685.69</c:v>
                </c:pt>
                <c:pt idx="2009">
                  <c:v>413685.69</c:v>
                </c:pt>
                <c:pt idx="2010">
                  <c:v>414169.69</c:v>
                </c:pt>
                <c:pt idx="2011">
                  <c:v>414169.69</c:v>
                </c:pt>
                <c:pt idx="2012">
                  <c:v>413785.09</c:v>
                </c:pt>
                <c:pt idx="2013">
                  <c:v>413785.09</c:v>
                </c:pt>
                <c:pt idx="2014">
                  <c:v>413647.44</c:v>
                </c:pt>
                <c:pt idx="2015">
                  <c:v>413647.44</c:v>
                </c:pt>
                <c:pt idx="2016">
                  <c:v>456909.26</c:v>
                </c:pt>
                <c:pt idx="2017">
                  <c:v>456909.26</c:v>
                </c:pt>
                <c:pt idx="2018">
                  <c:v>420452.25</c:v>
                </c:pt>
                <c:pt idx="2019">
                  <c:v>420452.25</c:v>
                </c:pt>
                <c:pt idx="2020">
                  <c:v>545432.25</c:v>
                </c:pt>
                <c:pt idx="2021">
                  <c:v>545590.84</c:v>
                </c:pt>
                <c:pt idx="2022">
                  <c:v>525679.43000000005</c:v>
                </c:pt>
                <c:pt idx="2023">
                  <c:v>545765.34</c:v>
                </c:pt>
                <c:pt idx="2024">
                  <c:v>546390.34</c:v>
                </c:pt>
                <c:pt idx="2025">
                  <c:v>546489.65</c:v>
                </c:pt>
                <c:pt idx="2026">
                  <c:v>540866.25</c:v>
                </c:pt>
                <c:pt idx="2027">
                  <c:v>540913.56000000006</c:v>
                </c:pt>
                <c:pt idx="2028">
                  <c:v>533274.25</c:v>
                </c:pt>
                <c:pt idx="2029">
                  <c:v>618886.13</c:v>
                </c:pt>
                <c:pt idx="2030">
                  <c:v>614102.62</c:v>
                </c:pt>
                <c:pt idx="2031">
                  <c:v>624405.25</c:v>
                </c:pt>
                <c:pt idx="2032">
                  <c:v>626377.68000000005</c:v>
                </c:pt>
                <c:pt idx="2033">
                  <c:v>626377.68000000005</c:v>
                </c:pt>
                <c:pt idx="2034">
                  <c:v>643671.14</c:v>
                </c:pt>
                <c:pt idx="2035">
                  <c:v>644766.57999999996</c:v>
                </c:pt>
                <c:pt idx="2036">
                  <c:v>638881.80000000005</c:v>
                </c:pt>
                <c:pt idx="2037">
                  <c:v>661874.81999999995</c:v>
                </c:pt>
                <c:pt idx="2038">
                  <c:v>661874.81999999995</c:v>
                </c:pt>
                <c:pt idx="2039">
                  <c:v>661874.81999999995</c:v>
                </c:pt>
                <c:pt idx="2040">
                  <c:v>661874.81999999995</c:v>
                </c:pt>
                <c:pt idx="2041">
                  <c:v>612116.59</c:v>
                </c:pt>
                <c:pt idx="2042">
                  <c:v>611802.93999999994</c:v>
                </c:pt>
                <c:pt idx="2043">
                  <c:v>611802.93999999994</c:v>
                </c:pt>
                <c:pt idx="2044">
                  <c:v>611802.93999999994</c:v>
                </c:pt>
                <c:pt idx="2045">
                  <c:v>597286.13</c:v>
                </c:pt>
                <c:pt idx="2046">
                  <c:v>597286.13</c:v>
                </c:pt>
                <c:pt idx="2047">
                  <c:v>597286.13</c:v>
                </c:pt>
                <c:pt idx="2048">
                  <c:v>608030.19999999995</c:v>
                </c:pt>
                <c:pt idx="2049">
                  <c:v>608078.04</c:v>
                </c:pt>
                <c:pt idx="2050">
                  <c:v>608078.04</c:v>
                </c:pt>
                <c:pt idx="2051">
                  <c:v>586838.57999999996</c:v>
                </c:pt>
                <c:pt idx="2052">
                  <c:v>582760.27</c:v>
                </c:pt>
                <c:pt idx="2053">
                  <c:v>591268.14</c:v>
                </c:pt>
                <c:pt idx="2054">
                  <c:v>606839.55000000005</c:v>
                </c:pt>
                <c:pt idx="2055">
                  <c:v>594580.53</c:v>
                </c:pt>
                <c:pt idx="2056">
                  <c:v>593705.04</c:v>
                </c:pt>
                <c:pt idx="2057">
                  <c:v>593705.04</c:v>
                </c:pt>
                <c:pt idx="2058">
                  <c:v>587304.93000000005</c:v>
                </c:pt>
                <c:pt idx="2059">
                  <c:v>587269.94999999995</c:v>
                </c:pt>
                <c:pt idx="2060">
                  <c:v>586679.74</c:v>
                </c:pt>
                <c:pt idx="2061">
                  <c:v>553504.59</c:v>
                </c:pt>
                <c:pt idx="2062">
                  <c:v>553504.59</c:v>
                </c:pt>
                <c:pt idx="2063">
                  <c:v>553504.59</c:v>
                </c:pt>
                <c:pt idx="2064">
                  <c:v>592925.96</c:v>
                </c:pt>
                <c:pt idx="2065">
                  <c:v>579325.18999999994</c:v>
                </c:pt>
                <c:pt idx="2066">
                  <c:v>579515.18999999994</c:v>
                </c:pt>
                <c:pt idx="2067">
                  <c:v>580657.82999999996</c:v>
                </c:pt>
                <c:pt idx="2068">
                  <c:v>579328.14</c:v>
                </c:pt>
                <c:pt idx="2069">
                  <c:v>579328.14</c:v>
                </c:pt>
                <c:pt idx="2070">
                  <c:v>543891.63</c:v>
                </c:pt>
                <c:pt idx="2071">
                  <c:v>543891.63</c:v>
                </c:pt>
                <c:pt idx="2072">
                  <c:v>579929.61</c:v>
                </c:pt>
                <c:pt idx="2073">
                  <c:v>566140.77</c:v>
                </c:pt>
                <c:pt idx="2074">
                  <c:v>566424.71</c:v>
                </c:pt>
                <c:pt idx="2075">
                  <c:v>566424.71</c:v>
                </c:pt>
                <c:pt idx="2076">
                  <c:v>585835.32999999996</c:v>
                </c:pt>
                <c:pt idx="2077">
                  <c:v>585835.32999999996</c:v>
                </c:pt>
                <c:pt idx="2078">
                  <c:v>587749.09</c:v>
                </c:pt>
                <c:pt idx="2079">
                  <c:v>587703.09</c:v>
                </c:pt>
                <c:pt idx="2080">
                  <c:v>553831.01</c:v>
                </c:pt>
                <c:pt idx="2081">
                  <c:v>553831.01</c:v>
                </c:pt>
                <c:pt idx="2082">
                  <c:v>553831.01</c:v>
                </c:pt>
                <c:pt idx="2083">
                  <c:v>553927.51</c:v>
                </c:pt>
                <c:pt idx="2084">
                  <c:v>639044.65</c:v>
                </c:pt>
                <c:pt idx="2085">
                  <c:v>639286.35</c:v>
                </c:pt>
                <c:pt idx="2086">
                  <c:v>639286.35</c:v>
                </c:pt>
                <c:pt idx="2087">
                  <c:v>639286.35</c:v>
                </c:pt>
                <c:pt idx="2088">
                  <c:v>616931.9</c:v>
                </c:pt>
                <c:pt idx="2089">
                  <c:v>616931.9</c:v>
                </c:pt>
                <c:pt idx="2090">
                  <c:v>616931.9</c:v>
                </c:pt>
                <c:pt idx="2091">
                  <c:v>580620.53</c:v>
                </c:pt>
                <c:pt idx="2092">
                  <c:v>589303.47</c:v>
                </c:pt>
                <c:pt idx="2093">
                  <c:v>573439.49</c:v>
                </c:pt>
                <c:pt idx="2094">
                  <c:v>573173.1</c:v>
                </c:pt>
                <c:pt idx="2095">
                  <c:v>597404.67000000004</c:v>
                </c:pt>
                <c:pt idx="2096">
                  <c:v>597454.31999999995</c:v>
                </c:pt>
                <c:pt idx="2097">
                  <c:v>594610.32999999996</c:v>
                </c:pt>
                <c:pt idx="2098">
                  <c:v>599459.89</c:v>
                </c:pt>
                <c:pt idx="2099">
                  <c:v>621376.56999999995</c:v>
                </c:pt>
                <c:pt idx="2100">
                  <c:v>639731.09</c:v>
                </c:pt>
                <c:pt idx="2101">
                  <c:v>603296.46</c:v>
                </c:pt>
                <c:pt idx="2102">
                  <c:v>602128.03</c:v>
                </c:pt>
                <c:pt idx="2103">
                  <c:v>610877.03</c:v>
                </c:pt>
                <c:pt idx="2104">
                  <c:v>629664.21</c:v>
                </c:pt>
                <c:pt idx="2105">
                  <c:v>629664.21</c:v>
                </c:pt>
                <c:pt idx="2106">
                  <c:v>629664.21</c:v>
                </c:pt>
                <c:pt idx="2107">
                  <c:v>629904.21</c:v>
                </c:pt>
                <c:pt idx="2108">
                  <c:v>629904.21</c:v>
                </c:pt>
                <c:pt idx="2109">
                  <c:v>630020.39</c:v>
                </c:pt>
                <c:pt idx="2110">
                  <c:v>630714.61</c:v>
                </c:pt>
                <c:pt idx="2111">
                  <c:v>573875.92000000004</c:v>
                </c:pt>
                <c:pt idx="2112">
                  <c:v>590385.61</c:v>
                </c:pt>
                <c:pt idx="2113">
                  <c:v>590798.61</c:v>
                </c:pt>
                <c:pt idx="2114">
                  <c:v>590447.57999999996</c:v>
                </c:pt>
                <c:pt idx="2115">
                  <c:v>589784.82999999996</c:v>
                </c:pt>
                <c:pt idx="2116">
                  <c:v>591275.29</c:v>
                </c:pt>
                <c:pt idx="2117">
                  <c:v>591604.29</c:v>
                </c:pt>
                <c:pt idx="2118">
                  <c:v>595308.17000000004</c:v>
                </c:pt>
                <c:pt idx="2119">
                  <c:v>595308.17000000004</c:v>
                </c:pt>
                <c:pt idx="2120">
                  <c:v>592390.28</c:v>
                </c:pt>
                <c:pt idx="2121">
                  <c:v>554571.62</c:v>
                </c:pt>
                <c:pt idx="2122">
                  <c:v>555118.31999999995</c:v>
                </c:pt>
                <c:pt idx="2123">
                  <c:v>545445.69999999995</c:v>
                </c:pt>
                <c:pt idx="2124">
                  <c:v>557177.62</c:v>
                </c:pt>
                <c:pt idx="2125">
                  <c:v>557177.62</c:v>
                </c:pt>
                <c:pt idx="2126">
                  <c:v>557177.62</c:v>
                </c:pt>
                <c:pt idx="2127">
                  <c:v>557177.62</c:v>
                </c:pt>
                <c:pt idx="2128">
                  <c:v>553656.31999999995</c:v>
                </c:pt>
                <c:pt idx="2129">
                  <c:v>576179.18000000005</c:v>
                </c:pt>
                <c:pt idx="2130">
                  <c:v>561372.46</c:v>
                </c:pt>
                <c:pt idx="2131">
                  <c:v>524111.97</c:v>
                </c:pt>
                <c:pt idx="2132">
                  <c:v>524111.97</c:v>
                </c:pt>
                <c:pt idx="2133">
                  <c:v>518915.42</c:v>
                </c:pt>
                <c:pt idx="2134">
                  <c:v>518564.39</c:v>
                </c:pt>
                <c:pt idx="2135">
                  <c:v>518564.39</c:v>
                </c:pt>
                <c:pt idx="2136">
                  <c:v>518564.39</c:v>
                </c:pt>
                <c:pt idx="2137">
                  <c:v>518615.52</c:v>
                </c:pt>
                <c:pt idx="2138">
                  <c:v>521662.04</c:v>
                </c:pt>
                <c:pt idx="2139">
                  <c:v>555436.06999999995</c:v>
                </c:pt>
                <c:pt idx="2140">
                  <c:v>553235.18000000005</c:v>
                </c:pt>
                <c:pt idx="2141">
                  <c:v>516429.69</c:v>
                </c:pt>
                <c:pt idx="2142">
                  <c:v>574828.56999999995</c:v>
                </c:pt>
                <c:pt idx="2143">
                  <c:v>574828.56999999995</c:v>
                </c:pt>
                <c:pt idx="2144">
                  <c:v>574828.56999999995</c:v>
                </c:pt>
                <c:pt idx="2145">
                  <c:v>574828.56999999995</c:v>
                </c:pt>
                <c:pt idx="2146">
                  <c:v>574828.56999999995</c:v>
                </c:pt>
                <c:pt idx="2147">
                  <c:v>574797.69999999995</c:v>
                </c:pt>
                <c:pt idx="2148">
                  <c:v>574797.69999999995</c:v>
                </c:pt>
                <c:pt idx="2149">
                  <c:v>581217.82999999996</c:v>
                </c:pt>
                <c:pt idx="2150">
                  <c:v>581797.82999999996</c:v>
                </c:pt>
                <c:pt idx="2151">
                  <c:v>581797.82999999996</c:v>
                </c:pt>
                <c:pt idx="2152">
                  <c:v>547045.46</c:v>
                </c:pt>
                <c:pt idx="2153">
                  <c:v>547045.46</c:v>
                </c:pt>
                <c:pt idx="2154">
                  <c:v>545941.55000000005</c:v>
                </c:pt>
                <c:pt idx="2155">
                  <c:v>546153.55000000005</c:v>
                </c:pt>
                <c:pt idx="2156">
                  <c:v>546153.55000000005</c:v>
                </c:pt>
                <c:pt idx="2157">
                  <c:v>545553.55000000005</c:v>
                </c:pt>
                <c:pt idx="2158">
                  <c:v>548862.66999999993</c:v>
                </c:pt>
                <c:pt idx="2159">
                  <c:v>549142.23</c:v>
                </c:pt>
                <c:pt idx="2160">
                  <c:v>549142.23</c:v>
                </c:pt>
                <c:pt idx="2161">
                  <c:v>514004.18</c:v>
                </c:pt>
                <c:pt idx="2162">
                  <c:v>514004.18</c:v>
                </c:pt>
                <c:pt idx="2163">
                  <c:v>511182.78</c:v>
                </c:pt>
                <c:pt idx="2164">
                  <c:v>510853.66000000003</c:v>
                </c:pt>
                <c:pt idx="2165">
                  <c:v>507819.97</c:v>
                </c:pt>
                <c:pt idx="2166">
                  <c:v>507789.1</c:v>
                </c:pt>
                <c:pt idx="2167">
                  <c:v>507391.61</c:v>
                </c:pt>
                <c:pt idx="2168">
                  <c:v>518580.22</c:v>
                </c:pt>
                <c:pt idx="2169">
                  <c:v>550978.54</c:v>
                </c:pt>
                <c:pt idx="2170">
                  <c:v>517674.89</c:v>
                </c:pt>
                <c:pt idx="2171">
                  <c:v>517674.89</c:v>
                </c:pt>
                <c:pt idx="2172">
                  <c:v>505993.19999999995</c:v>
                </c:pt>
                <c:pt idx="2173">
                  <c:v>505993.19999999995</c:v>
                </c:pt>
                <c:pt idx="2174">
                  <c:v>506811.4</c:v>
                </c:pt>
                <c:pt idx="2175">
                  <c:v>506811.4</c:v>
                </c:pt>
                <c:pt idx="2176">
                  <c:v>507710.06</c:v>
                </c:pt>
                <c:pt idx="2177">
                  <c:v>507810.06</c:v>
                </c:pt>
                <c:pt idx="2178">
                  <c:v>507906.56</c:v>
                </c:pt>
                <c:pt idx="2179">
                  <c:v>508693.88</c:v>
                </c:pt>
                <c:pt idx="2180">
                  <c:v>509039.89</c:v>
                </c:pt>
                <c:pt idx="2181">
                  <c:v>480741.11</c:v>
                </c:pt>
                <c:pt idx="2182">
                  <c:v>492793.56999999995</c:v>
                </c:pt>
                <c:pt idx="2183">
                  <c:v>490184.68</c:v>
                </c:pt>
                <c:pt idx="2184">
                  <c:v>490825.35</c:v>
                </c:pt>
                <c:pt idx="2185">
                  <c:v>487953.12</c:v>
                </c:pt>
                <c:pt idx="2186">
                  <c:v>488049.62</c:v>
                </c:pt>
                <c:pt idx="2187">
                  <c:v>488084.28</c:v>
                </c:pt>
                <c:pt idx="2188">
                  <c:v>489260.69</c:v>
                </c:pt>
                <c:pt idx="2189">
                  <c:v>487504.65</c:v>
                </c:pt>
                <c:pt idx="2190">
                  <c:v>493139.31</c:v>
                </c:pt>
                <c:pt idx="2191">
                  <c:v>460235.4</c:v>
                </c:pt>
                <c:pt idx="2192">
                  <c:v>461284.12</c:v>
                </c:pt>
                <c:pt idx="2193">
                  <c:v>459321.21</c:v>
                </c:pt>
                <c:pt idx="2194">
                  <c:v>457084.76</c:v>
                </c:pt>
                <c:pt idx="2195">
                  <c:v>463766.42000000004</c:v>
                </c:pt>
                <c:pt idx="2196">
                  <c:v>463766.42000000004</c:v>
                </c:pt>
                <c:pt idx="2197">
                  <c:v>469122.74</c:v>
                </c:pt>
                <c:pt idx="2198">
                  <c:v>469122.74</c:v>
                </c:pt>
                <c:pt idx="2199">
                  <c:v>492677.1</c:v>
                </c:pt>
                <c:pt idx="2200">
                  <c:v>471079.96</c:v>
                </c:pt>
                <c:pt idx="2201">
                  <c:v>471079.96</c:v>
                </c:pt>
                <c:pt idx="2202">
                  <c:v>441990.52</c:v>
                </c:pt>
                <c:pt idx="2203">
                  <c:v>442836.98</c:v>
                </c:pt>
                <c:pt idx="2204">
                  <c:v>442485.95</c:v>
                </c:pt>
                <c:pt idx="2205">
                  <c:v>433080.95</c:v>
                </c:pt>
                <c:pt idx="2206">
                  <c:v>430333.06000000006</c:v>
                </c:pt>
                <c:pt idx="2207">
                  <c:v>427774.19</c:v>
                </c:pt>
                <c:pt idx="2208">
                  <c:v>444122.88</c:v>
                </c:pt>
                <c:pt idx="2209">
                  <c:v>444122.88</c:v>
                </c:pt>
                <c:pt idx="2210">
                  <c:v>444122.88</c:v>
                </c:pt>
                <c:pt idx="2211">
                  <c:v>444092.01</c:v>
                </c:pt>
                <c:pt idx="2212">
                  <c:v>409823.26</c:v>
                </c:pt>
                <c:pt idx="2213">
                  <c:v>409823.26</c:v>
                </c:pt>
                <c:pt idx="2214">
                  <c:v>431469.19</c:v>
                </c:pt>
                <c:pt idx="2215">
                  <c:v>431469.19</c:v>
                </c:pt>
                <c:pt idx="2216">
                  <c:v>431469.19</c:v>
                </c:pt>
                <c:pt idx="2217">
                  <c:v>431469.19</c:v>
                </c:pt>
                <c:pt idx="2218">
                  <c:v>431182.22</c:v>
                </c:pt>
                <c:pt idx="2219">
                  <c:v>431060.93</c:v>
                </c:pt>
                <c:pt idx="2220">
                  <c:v>431037.93</c:v>
                </c:pt>
                <c:pt idx="2221">
                  <c:v>394761.57</c:v>
                </c:pt>
                <c:pt idx="2222">
                  <c:v>394761.57</c:v>
                </c:pt>
                <c:pt idx="2223">
                  <c:v>388573.93</c:v>
                </c:pt>
                <c:pt idx="2224">
                  <c:v>388238.18</c:v>
                </c:pt>
                <c:pt idx="2225">
                  <c:v>388662.43</c:v>
                </c:pt>
                <c:pt idx="2226">
                  <c:v>388662.43</c:v>
                </c:pt>
                <c:pt idx="2227">
                  <c:v>391543.06999999995</c:v>
                </c:pt>
                <c:pt idx="2228">
                  <c:v>391543.06999999995</c:v>
                </c:pt>
                <c:pt idx="2229">
                  <c:v>388625.43</c:v>
                </c:pt>
                <c:pt idx="2230">
                  <c:v>374995.87</c:v>
                </c:pt>
                <c:pt idx="2231">
                  <c:v>333017.51</c:v>
                </c:pt>
                <c:pt idx="2232">
                  <c:v>414568.4</c:v>
                </c:pt>
                <c:pt idx="2233">
                  <c:v>437525.93</c:v>
                </c:pt>
                <c:pt idx="2234">
                  <c:v>457237.56999999995</c:v>
                </c:pt>
                <c:pt idx="2235">
                  <c:v>457237.56999999995</c:v>
                </c:pt>
                <c:pt idx="2236">
                  <c:v>457237.56999999995</c:v>
                </c:pt>
                <c:pt idx="2237">
                  <c:v>457237.56999999995</c:v>
                </c:pt>
                <c:pt idx="2238">
                  <c:v>442624.92</c:v>
                </c:pt>
                <c:pt idx="2239">
                  <c:v>446053.83999999997</c:v>
                </c:pt>
                <c:pt idx="2240">
                  <c:v>478705.81999999995</c:v>
                </c:pt>
                <c:pt idx="2241">
                  <c:v>478705.81999999995</c:v>
                </c:pt>
                <c:pt idx="2242">
                  <c:v>448233.27</c:v>
                </c:pt>
                <c:pt idx="2243">
                  <c:v>436933.37</c:v>
                </c:pt>
                <c:pt idx="2244">
                  <c:v>444705.66000000003</c:v>
                </c:pt>
                <c:pt idx="2245">
                  <c:v>444705.66000000003</c:v>
                </c:pt>
                <c:pt idx="2246">
                  <c:v>445064.27</c:v>
                </c:pt>
                <c:pt idx="2247">
                  <c:v>442674.36</c:v>
                </c:pt>
                <c:pt idx="2248">
                  <c:v>441972.80999999994</c:v>
                </c:pt>
                <c:pt idx="2249">
                  <c:v>464390.05999999994</c:v>
                </c:pt>
                <c:pt idx="2250">
                  <c:v>461412.17</c:v>
                </c:pt>
                <c:pt idx="2251">
                  <c:v>461412.17</c:v>
                </c:pt>
                <c:pt idx="2252">
                  <c:v>433498.27</c:v>
                </c:pt>
                <c:pt idx="2253">
                  <c:v>424959.11000000004</c:v>
                </c:pt>
                <c:pt idx="2254">
                  <c:v>422950.28</c:v>
                </c:pt>
                <c:pt idx="2255">
                  <c:v>422532.52</c:v>
                </c:pt>
                <c:pt idx="2256">
                  <c:v>427127.58</c:v>
                </c:pt>
                <c:pt idx="2257">
                  <c:v>427127.58</c:v>
                </c:pt>
                <c:pt idx="2258">
                  <c:v>427953.19000000006</c:v>
                </c:pt>
                <c:pt idx="2259">
                  <c:v>426032.37</c:v>
                </c:pt>
                <c:pt idx="2260">
                  <c:v>434744.04000000004</c:v>
                </c:pt>
                <c:pt idx="2261">
                  <c:v>392415.65</c:v>
                </c:pt>
                <c:pt idx="2262">
                  <c:v>392392.65</c:v>
                </c:pt>
                <c:pt idx="2263">
                  <c:v>392281.77</c:v>
                </c:pt>
                <c:pt idx="2264">
                  <c:v>392073.77</c:v>
                </c:pt>
                <c:pt idx="2265">
                  <c:v>391781.77</c:v>
                </c:pt>
                <c:pt idx="2266">
                  <c:v>391706.76</c:v>
                </c:pt>
                <c:pt idx="2267">
                  <c:v>391418.27</c:v>
                </c:pt>
                <c:pt idx="2268">
                  <c:v>391123.27</c:v>
                </c:pt>
                <c:pt idx="2269">
                  <c:v>391105.62</c:v>
                </c:pt>
                <c:pt idx="2270">
                  <c:v>390992.18</c:v>
                </c:pt>
                <c:pt idx="2271">
                  <c:v>390902.67000000004</c:v>
                </c:pt>
                <c:pt idx="2272">
                  <c:v>390473.13</c:v>
                </c:pt>
                <c:pt idx="2273">
                  <c:v>390145.12</c:v>
                </c:pt>
                <c:pt idx="2274">
                  <c:v>390090.51</c:v>
                </c:pt>
                <c:pt idx="2275">
                  <c:v>389964.76</c:v>
                </c:pt>
                <c:pt idx="2276">
                  <c:v>389830.80000000005</c:v>
                </c:pt>
                <c:pt idx="2277">
                  <c:v>389217.19</c:v>
                </c:pt>
                <c:pt idx="2278">
                  <c:v>386663.1</c:v>
                </c:pt>
                <c:pt idx="2279">
                  <c:v>386554.56</c:v>
                </c:pt>
                <c:pt idx="2280">
                  <c:v>386788.56</c:v>
                </c:pt>
                <c:pt idx="2281">
                  <c:v>386168.47</c:v>
                </c:pt>
                <c:pt idx="2282">
                  <c:v>385817.44</c:v>
                </c:pt>
                <c:pt idx="2283">
                  <c:v>388587.64</c:v>
                </c:pt>
                <c:pt idx="2284">
                  <c:v>383945.64</c:v>
                </c:pt>
                <c:pt idx="2285">
                  <c:v>384003.42</c:v>
                </c:pt>
                <c:pt idx="2286">
                  <c:v>383718.68</c:v>
                </c:pt>
                <c:pt idx="2287">
                  <c:v>383665.16000000003</c:v>
                </c:pt>
                <c:pt idx="2288">
                  <c:v>383138.28</c:v>
                </c:pt>
                <c:pt idx="2289">
                  <c:v>383074.28</c:v>
                </c:pt>
                <c:pt idx="2290">
                  <c:v>382999.29000000004</c:v>
                </c:pt>
                <c:pt idx="2291">
                  <c:v>382965.45</c:v>
                </c:pt>
                <c:pt idx="2292">
                  <c:v>382960.85</c:v>
                </c:pt>
                <c:pt idx="2293">
                  <c:v>382687.15</c:v>
                </c:pt>
                <c:pt idx="2294">
                  <c:v>382187.15</c:v>
                </c:pt>
                <c:pt idx="2295">
                  <c:v>382473.15</c:v>
                </c:pt>
                <c:pt idx="2296">
                  <c:v>382473.15</c:v>
                </c:pt>
                <c:pt idx="2297">
                  <c:v>382476.65</c:v>
                </c:pt>
                <c:pt idx="2298">
                  <c:v>382018.3</c:v>
                </c:pt>
                <c:pt idx="2299">
                  <c:v>385270.54000000004</c:v>
                </c:pt>
                <c:pt idx="2300">
                  <c:v>385286.02</c:v>
                </c:pt>
                <c:pt idx="2301">
                  <c:v>384920.04000000004</c:v>
                </c:pt>
                <c:pt idx="2302">
                  <c:v>343105.26</c:v>
                </c:pt>
                <c:pt idx="2303">
                  <c:v>340105.37</c:v>
                </c:pt>
                <c:pt idx="2304">
                  <c:v>335468.29000000004</c:v>
                </c:pt>
                <c:pt idx="2305">
                  <c:v>335433.94</c:v>
                </c:pt>
                <c:pt idx="2306">
                  <c:v>335225.94</c:v>
                </c:pt>
                <c:pt idx="2307">
                  <c:v>333447.7</c:v>
                </c:pt>
                <c:pt idx="2308">
                  <c:v>333350.23</c:v>
                </c:pt>
                <c:pt idx="2309">
                  <c:v>333173.24</c:v>
                </c:pt>
                <c:pt idx="2310">
                  <c:v>332837.56</c:v>
                </c:pt>
                <c:pt idx="2311">
                  <c:v>332720.73</c:v>
                </c:pt>
                <c:pt idx="2312">
                  <c:v>331623.23</c:v>
                </c:pt>
                <c:pt idx="2313">
                  <c:v>331473.23</c:v>
                </c:pt>
                <c:pt idx="2314">
                  <c:v>331441.23</c:v>
                </c:pt>
                <c:pt idx="2315">
                  <c:v>331541.23</c:v>
                </c:pt>
                <c:pt idx="2316">
                  <c:v>331190.2</c:v>
                </c:pt>
                <c:pt idx="2317">
                  <c:v>331515.2</c:v>
                </c:pt>
                <c:pt idx="2318">
                  <c:v>335363.53000000003</c:v>
                </c:pt>
                <c:pt idx="2319">
                  <c:v>335214.24</c:v>
                </c:pt>
                <c:pt idx="2320">
                  <c:v>334827.34999999998</c:v>
                </c:pt>
                <c:pt idx="2321">
                  <c:v>370155.19999999995</c:v>
                </c:pt>
                <c:pt idx="2322">
                  <c:v>329849.65000000002</c:v>
                </c:pt>
                <c:pt idx="2323">
                  <c:v>408608.68</c:v>
                </c:pt>
                <c:pt idx="2324">
                  <c:v>408588.68</c:v>
                </c:pt>
                <c:pt idx="2325">
                  <c:v>533588.67999999993</c:v>
                </c:pt>
                <c:pt idx="2326">
                  <c:v>533565.67999999993</c:v>
                </c:pt>
                <c:pt idx="2327">
                  <c:v>533415.67999999993</c:v>
                </c:pt>
                <c:pt idx="2328">
                  <c:v>525563.86</c:v>
                </c:pt>
                <c:pt idx="2329">
                  <c:v>523323.94999999995</c:v>
                </c:pt>
                <c:pt idx="2330">
                  <c:v>523060.35</c:v>
                </c:pt>
                <c:pt idx="2331">
                  <c:v>522972.04000000004</c:v>
                </c:pt>
                <c:pt idx="2332">
                  <c:v>522707.51</c:v>
                </c:pt>
                <c:pt idx="2333">
                  <c:v>522092.67999999993</c:v>
                </c:pt>
                <c:pt idx="2334">
                  <c:v>522071.03</c:v>
                </c:pt>
                <c:pt idx="2335">
                  <c:v>521537.44999999995</c:v>
                </c:pt>
                <c:pt idx="2336">
                  <c:v>521107.91000000003</c:v>
                </c:pt>
                <c:pt idx="2337">
                  <c:v>520990.61</c:v>
                </c:pt>
                <c:pt idx="2338">
                  <c:v>520378.69999999995</c:v>
                </c:pt>
                <c:pt idx="2339">
                  <c:v>520320.57999999996</c:v>
                </c:pt>
                <c:pt idx="2340">
                  <c:v>534914.6</c:v>
                </c:pt>
                <c:pt idx="2341">
                  <c:v>535471.51</c:v>
                </c:pt>
                <c:pt idx="2342">
                  <c:v>535571.51</c:v>
                </c:pt>
                <c:pt idx="2343">
                  <c:v>535220.47999999998</c:v>
                </c:pt>
                <c:pt idx="2344">
                  <c:v>535851.48</c:v>
                </c:pt>
                <c:pt idx="2345">
                  <c:v>536311.48</c:v>
                </c:pt>
                <c:pt idx="2346">
                  <c:v>526861.48</c:v>
                </c:pt>
                <c:pt idx="2347">
                  <c:v>526771.48</c:v>
                </c:pt>
                <c:pt idx="2348">
                  <c:v>526665.76</c:v>
                </c:pt>
                <c:pt idx="2349">
                  <c:v>526579.77</c:v>
                </c:pt>
                <c:pt idx="2350">
                  <c:v>526579.77</c:v>
                </c:pt>
                <c:pt idx="2351">
                  <c:v>524798.53</c:v>
                </c:pt>
                <c:pt idx="2352">
                  <c:v>524120.99</c:v>
                </c:pt>
                <c:pt idx="2353">
                  <c:v>524093.39</c:v>
                </c:pt>
                <c:pt idx="2354">
                  <c:v>524072.39</c:v>
                </c:pt>
                <c:pt idx="2355">
                  <c:v>524072.39</c:v>
                </c:pt>
                <c:pt idx="2356">
                  <c:v>523894.11</c:v>
                </c:pt>
                <c:pt idx="2357">
                  <c:v>523656.66000000003</c:v>
                </c:pt>
                <c:pt idx="2358">
                  <c:v>523671.15</c:v>
                </c:pt>
                <c:pt idx="2359">
                  <c:v>480106.27</c:v>
                </c:pt>
                <c:pt idx="2360">
                  <c:v>480052.75</c:v>
                </c:pt>
                <c:pt idx="2361">
                  <c:v>479688.41</c:v>
                </c:pt>
                <c:pt idx="2362">
                  <c:v>479480.41</c:v>
                </c:pt>
                <c:pt idx="2363">
                  <c:v>479097.24</c:v>
                </c:pt>
                <c:pt idx="2364">
                  <c:v>479093.24</c:v>
                </c:pt>
                <c:pt idx="2365">
                  <c:v>479072.24</c:v>
                </c:pt>
                <c:pt idx="2366">
                  <c:v>479028.4</c:v>
                </c:pt>
                <c:pt idx="2367">
                  <c:v>479643.4</c:v>
                </c:pt>
                <c:pt idx="2368">
                  <c:v>542279.13</c:v>
                </c:pt>
                <c:pt idx="2369">
                  <c:v>541679.13</c:v>
                </c:pt>
                <c:pt idx="2370">
                  <c:v>541666.38</c:v>
                </c:pt>
                <c:pt idx="2371">
                  <c:v>538452.99</c:v>
                </c:pt>
                <c:pt idx="2372">
                  <c:v>538552.99</c:v>
                </c:pt>
                <c:pt idx="2373">
                  <c:v>536552.99</c:v>
                </c:pt>
                <c:pt idx="2374">
                  <c:v>536201.63</c:v>
                </c:pt>
                <c:pt idx="2375">
                  <c:v>535807.31999999995</c:v>
                </c:pt>
                <c:pt idx="2376">
                  <c:v>535664.52</c:v>
                </c:pt>
                <c:pt idx="2377">
                  <c:v>535761.02</c:v>
                </c:pt>
                <c:pt idx="2378">
                  <c:v>536438.02</c:v>
                </c:pt>
                <c:pt idx="2379">
                  <c:v>536339.53</c:v>
                </c:pt>
                <c:pt idx="2380">
                  <c:v>587170.17000000004</c:v>
                </c:pt>
                <c:pt idx="2381">
                  <c:v>580571.54999999993</c:v>
                </c:pt>
                <c:pt idx="2382">
                  <c:v>580513.42999999993</c:v>
                </c:pt>
                <c:pt idx="2383">
                  <c:v>580071.26</c:v>
                </c:pt>
                <c:pt idx="2384">
                  <c:v>580008.26</c:v>
                </c:pt>
                <c:pt idx="2385">
                  <c:v>579804.6</c:v>
                </c:pt>
                <c:pt idx="2386">
                  <c:v>578855.37</c:v>
                </c:pt>
                <c:pt idx="2387">
                  <c:v>578822.67999999993</c:v>
                </c:pt>
                <c:pt idx="2388">
                  <c:v>544325.26</c:v>
                </c:pt>
                <c:pt idx="2389">
                  <c:v>544325.26</c:v>
                </c:pt>
                <c:pt idx="2390">
                  <c:v>545173.66</c:v>
                </c:pt>
                <c:pt idx="2391">
                  <c:v>544863.68000000005</c:v>
                </c:pt>
                <c:pt idx="2392">
                  <c:v>544840.68000000005</c:v>
                </c:pt>
                <c:pt idx="2393">
                  <c:v>566395.73</c:v>
                </c:pt>
                <c:pt idx="2394">
                  <c:v>527044.18999999994</c:v>
                </c:pt>
                <c:pt idx="2395">
                  <c:v>527073.05000000005</c:v>
                </c:pt>
                <c:pt idx="2396">
                  <c:v>527073.05000000005</c:v>
                </c:pt>
                <c:pt idx="2397">
                  <c:v>527073.05000000005</c:v>
                </c:pt>
                <c:pt idx="2398">
                  <c:v>527861.25</c:v>
                </c:pt>
                <c:pt idx="2399">
                  <c:v>527711.25</c:v>
                </c:pt>
                <c:pt idx="2400">
                  <c:v>524055.78</c:v>
                </c:pt>
                <c:pt idx="2401">
                  <c:v>523966.91000000003</c:v>
                </c:pt>
                <c:pt idx="2402">
                  <c:v>523289.08999999997</c:v>
                </c:pt>
                <c:pt idx="2403">
                  <c:v>522707.93000000005</c:v>
                </c:pt>
                <c:pt idx="2404">
                  <c:v>522382.93000000005</c:v>
                </c:pt>
                <c:pt idx="2405">
                  <c:v>522192.53</c:v>
                </c:pt>
                <c:pt idx="2406">
                  <c:v>519298.83999999997</c:v>
                </c:pt>
                <c:pt idx="2407">
                  <c:v>518936.1</c:v>
                </c:pt>
                <c:pt idx="2408">
                  <c:v>518661.35</c:v>
                </c:pt>
                <c:pt idx="2409">
                  <c:v>518609.56</c:v>
                </c:pt>
                <c:pt idx="2410">
                  <c:v>518485.12</c:v>
                </c:pt>
                <c:pt idx="2411">
                  <c:v>517870.45</c:v>
                </c:pt>
                <c:pt idx="2412">
                  <c:v>517570.45</c:v>
                </c:pt>
                <c:pt idx="2413">
                  <c:v>517538.58999999997</c:v>
                </c:pt>
                <c:pt idx="2414">
                  <c:v>517508.64</c:v>
                </c:pt>
                <c:pt idx="2415">
                  <c:v>517198.66000000003</c:v>
                </c:pt>
                <c:pt idx="2416">
                  <c:v>521648.66000000003</c:v>
                </c:pt>
                <c:pt idx="2417">
                  <c:v>538194.97</c:v>
                </c:pt>
                <c:pt idx="2418">
                  <c:v>551196.84</c:v>
                </c:pt>
                <c:pt idx="2419">
                  <c:v>548130.44999999995</c:v>
                </c:pt>
                <c:pt idx="2420">
                  <c:v>547980.44999999995</c:v>
                </c:pt>
                <c:pt idx="2421">
                  <c:v>547980.44999999995</c:v>
                </c:pt>
                <c:pt idx="2422">
                  <c:v>547930.44999999995</c:v>
                </c:pt>
                <c:pt idx="2423">
                  <c:v>568182.62</c:v>
                </c:pt>
                <c:pt idx="2424">
                  <c:v>567633.55000000005</c:v>
                </c:pt>
                <c:pt idx="2425">
                  <c:v>532764.98</c:v>
                </c:pt>
                <c:pt idx="2426">
                  <c:v>532732.29</c:v>
                </c:pt>
                <c:pt idx="2427">
                  <c:v>532305.86</c:v>
                </c:pt>
                <c:pt idx="2428">
                  <c:v>531883.48</c:v>
                </c:pt>
                <c:pt idx="2429">
                  <c:v>531791.48</c:v>
                </c:pt>
                <c:pt idx="2430">
                  <c:v>529702.51</c:v>
                </c:pt>
                <c:pt idx="2431">
                  <c:v>529914.51</c:v>
                </c:pt>
                <c:pt idx="2432">
                  <c:v>528738.86</c:v>
                </c:pt>
                <c:pt idx="2433">
                  <c:v>528428.88</c:v>
                </c:pt>
                <c:pt idx="2434">
                  <c:v>577620.79</c:v>
                </c:pt>
                <c:pt idx="2435">
                  <c:v>577570.79</c:v>
                </c:pt>
                <c:pt idx="2436">
                  <c:v>577570.79</c:v>
                </c:pt>
                <c:pt idx="2437">
                  <c:v>577274.67000000004</c:v>
                </c:pt>
                <c:pt idx="2438">
                  <c:v>577010.17000000004</c:v>
                </c:pt>
                <c:pt idx="2439">
                  <c:v>576996.14</c:v>
                </c:pt>
                <c:pt idx="2440">
                  <c:v>576643.97</c:v>
                </c:pt>
                <c:pt idx="2441">
                  <c:v>576328.97</c:v>
                </c:pt>
                <c:pt idx="2442">
                  <c:v>575733.97</c:v>
                </c:pt>
                <c:pt idx="2443">
                  <c:v>575608.97</c:v>
                </c:pt>
                <c:pt idx="2444">
                  <c:v>575555.44999999995</c:v>
                </c:pt>
                <c:pt idx="2445">
                  <c:v>570469.09</c:v>
                </c:pt>
                <c:pt idx="2446">
                  <c:v>570358.43999999994</c:v>
                </c:pt>
                <c:pt idx="2447">
                  <c:v>570283.44999999995</c:v>
                </c:pt>
                <c:pt idx="2448">
                  <c:v>569673.63</c:v>
                </c:pt>
                <c:pt idx="2449">
                  <c:v>569655.98</c:v>
                </c:pt>
                <c:pt idx="2450">
                  <c:v>569634.98</c:v>
                </c:pt>
                <c:pt idx="2451">
                  <c:v>569507.01</c:v>
                </c:pt>
                <c:pt idx="2452">
                  <c:v>569357.01</c:v>
                </c:pt>
                <c:pt idx="2453">
                  <c:v>569207.01</c:v>
                </c:pt>
                <c:pt idx="2454">
                  <c:v>569172.51</c:v>
                </c:pt>
                <c:pt idx="2455">
                  <c:v>569717.51</c:v>
                </c:pt>
                <c:pt idx="2456">
                  <c:v>570147.51</c:v>
                </c:pt>
                <c:pt idx="2457">
                  <c:v>535120.71</c:v>
                </c:pt>
                <c:pt idx="2458">
                  <c:v>535486.71</c:v>
                </c:pt>
                <c:pt idx="2459">
                  <c:v>535516.71</c:v>
                </c:pt>
                <c:pt idx="2460">
                  <c:v>536161.71</c:v>
                </c:pt>
                <c:pt idx="2461">
                  <c:v>550880.04</c:v>
                </c:pt>
                <c:pt idx="2462">
                  <c:v>550830.04</c:v>
                </c:pt>
                <c:pt idx="2463">
                  <c:v>547456.56999999995</c:v>
                </c:pt>
                <c:pt idx="2464">
                  <c:v>547019.71</c:v>
                </c:pt>
                <c:pt idx="2465">
                  <c:v>546958.80000000005</c:v>
                </c:pt>
                <c:pt idx="2466">
                  <c:v>546637.5</c:v>
                </c:pt>
                <c:pt idx="2467">
                  <c:v>546198.81999999995</c:v>
                </c:pt>
                <c:pt idx="2468">
                  <c:v>546125.53</c:v>
                </c:pt>
                <c:pt idx="2469">
                  <c:v>546000.24</c:v>
                </c:pt>
                <c:pt idx="2470">
                  <c:v>545896.64</c:v>
                </c:pt>
                <c:pt idx="2471">
                  <c:v>545923.49</c:v>
                </c:pt>
                <c:pt idx="2472">
                  <c:v>545642.31999999995</c:v>
                </c:pt>
                <c:pt idx="2473">
                  <c:v>562800.30000000005</c:v>
                </c:pt>
                <c:pt idx="2474">
                  <c:v>559882.41</c:v>
                </c:pt>
                <c:pt idx="2475">
                  <c:v>559828.89</c:v>
                </c:pt>
                <c:pt idx="2476">
                  <c:v>559618.99</c:v>
                </c:pt>
                <c:pt idx="2477">
                  <c:v>553735.16</c:v>
                </c:pt>
                <c:pt idx="2478">
                  <c:v>553600.16</c:v>
                </c:pt>
                <c:pt idx="2479">
                  <c:v>553214.66</c:v>
                </c:pt>
                <c:pt idx="2480">
                  <c:v>552947.65</c:v>
                </c:pt>
                <c:pt idx="2481">
                  <c:v>552282.37</c:v>
                </c:pt>
                <c:pt idx="2482">
                  <c:v>552240.38</c:v>
                </c:pt>
                <c:pt idx="2483">
                  <c:v>548111.06000000006</c:v>
                </c:pt>
                <c:pt idx="2484">
                  <c:v>547875.62</c:v>
                </c:pt>
                <c:pt idx="2485">
                  <c:v>547830.63</c:v>
                </c:pt>
                <c:pt idx="2486">
                  <c:v>547450.31000000006</c:v>
                </c:pt>
                <c:pt idx="2487">
                  <c:v>540835.31000000006</c:v>
                </c:pt>
                <c:pt idx="2488">
                  <c:v>540221.63</c:v>
                </c:pt>
                <c:pt idx="2489">
                  <c:v>540132.65</c:v>
                </c:pt>
                <c:pt idx="2490">
                  <c:v>540060.18000000005</c:v>
                </c:pt>
                <c:pt idx="2491">
                  <c:v>563798.29</c:v>
                </c:pt>
                <c:pt idx="2492">
                  <c:v>562950.29</c:v>
                </c:pt>
                <c:pt idx="2493">
                  <c:v>561244.29</c:v>
                </c:pt>
                <c:pt idx="2494">
                  <c:v>528536.19999999995</c:v>
                </c:pt>
                <c:pt idx="2495">
                  <c:v>528521.19999999995</c:v>
                </c:pt>
                <c:pt idx="2496">
                  <c:v>528488.51</c:v>
                </c:pt>
                <c:pt idx="2497">
                  <c:v>528092.85</c:v>
                </c:pt>
                <c:pt idx="2498">
                  <c:v>522112.78</c:v>
                </c:pt>
                <c:pt idx="2499">
                  <c:v>522302.78</c:v>
                </c:pt>
                <c:pt idx="2500">
                  <c:v>522372.78</c:v>
                </c:pt>
                <c:pt idx="2501">
                  <c:v>522482.78</c:v>
                </c:pt>
                <c:pt idx="2502">
                  <c:v>522717.78</c:v>
                </c:pt>
                <c:pt idx="2503">
                  <c:v>522722.78</c:v>
                </c:pt>
                <c:pt idx="2504">
                  <c:v>522757.78</c:v>
                </c:pt>
                <c:pt idx="2505">
                  <c:v>562635.17000000004</c:v>
                </c:pt>
                <c:pt idx="2506">
                  <c:v>563333.79</c:v>
                </c:pt>
                <c:pt idx="2507">
                  <c:v>562452.68000000005</c:v>
                </c:pt>
                <c:pt idx="2508">
                  <c:v>562418.18000000005</c:v>
                </c:pt>
                <c:pt idx="2509">
                  <c:v>601492.61</c:v>
                </c:pt>
                <c:pt idx="2510">
                  <c:v>601342.61</c:v>
                </c:pt>
                <c:pt idx="2511">
                  <c:v>598390.28</c:v>
                </c:pt>
                <c:pt idx="2512">
                  <c:v>598362.28</c:v>
                </c:pt>
                <c:pt idx="2513">
                  <c:v>598159.98</c:v>
                </c:pt>
                <c:pt idx="2514">
                  <c:v>597953.23</c:v>
                </c:pt>
                <c:pt idx="2515">
                  <c:v>597453.23</c:v>
                </c:pt>
                <c:pt idx="2516">
                  <c:v>597014.55000000005</c:v>
                </c:pt>
                <c:pt idx="2517">
                  <c:v>596784.99</c:v>
                </c:pt>
                <c:pt idx="2518">
                  <c:v>596769.52</c:v>
                </c:pt>
                <c:pt idx="2519">
                  <c:v>596516.53</c:v>
                </c:pt>
                <c:pt idx="2520">
                  <c:v>596493.43000000005</c:v>
                </c:pt>
                <c:pt idx="2521">
                  <c:v>596351.68000000005</c:v>
                </c:pt>
                <c:pt idx="2522">
                  <c:v>596285.88000000012</c:v>
                </c:pt>
                <c:pt idx="2523">
                  <c:v>596211.46000000008</c:v>
                </c:pt>
                <c:pt idx="2524">
                  <c:v>594546.46000000008</c:v>
                </c:pt>
                <c:pt idx="2525">
                  <c:v>594492.94000000006</c:v>
                </c:pt>
                <c:pt idx="2526">
                  <c:v>594404.53000000014</c:v>
                </c:pt>
                <c:pt idx="2527">
                  <c:v>594424.21000000008</c:v>
                </c:pt>
                <c:pt idx="2528">
                  <c:v>594205.78000000014</c:v>
                </c:pt>
                <c:pt idx="2529">
                  <c:v>559150.63000000012</c:v>
                </c:pt>
                <c:pt idx="2530">
                  <c:v>558932.20000000007</c:v>
                </c:pt>
                <c:pt idx="2531">
                  <c:v>558669.16000000015</c:v>
                </c:pt>
                <c:pt idx="2532">
                  <c:v>556604.50000000012</c:v>
                </c:pt>
                <c:pt idx="2533">
                  <c:v>556066.76000000013</c:v>
                </c:pt>
                <c:pt idx="2534">
                  <c:v>555844.13000000012</c:v>
                </c:pt>
                <c:pt idx="2535">
                  <c:v>555335.33000000019</c:v>
                </c:pt>
                <c:pt idx="2536">
                  <c:v>553445.50000000012</c:v>
                </c:pt>
                <c:pt idx="2537">
                  <c:v>553072.40000000014</c:v>
                </c:pt>
                <c:pt idx="2538">
                  <c:v>553062.40000000014</c:v>
                </c:pt>
                <c:pt idx="2539">
                  <c:v>552448.28000000014</c:v>
                </c:pt>
                <c:pt idx="2540">
                  <c:v>552498.28000000014</c:v>
                </c:pt>
                <c:pt idx="2541">
                  <c:v>552605.28000000014</c:v>
                </c:pt>
                <c:pt idx="2542">
                  <c:v>552802.28000000014</c:v>
                </c:pt>
                <c:pt idx="2543">
                  <c:v>553067.28000000014</c:v>
                </c:pt>
                <c:pt idx="2544">
                  <c:v>553149.28000000014</c:v>
                </c:pt>
                <c:pt idx="2545">
                  <c:v>553159.28000000014</c:v>
                </c:pt>
                <c:pt idx="2546">
                  <c:v>558291.17000000016</c:v>
                </c:pt>
                <c:pt idx="2547">
                  <c:v>584291.17000000016</c:v>
                </c:pt>
                <c:pt idx="2548">
                  <c:v>584317.76000000024</c:v>
                </c:pt>
                <c:pt idx="2549">
                  <c:v>584367.41000000027</c:v>
                </c:pt>
                <c:pt idx="2550">
                  <c:v>584086.27000000025</c:v>
                </c:pt>
                <c:pt idx="2551">
                  <c:v>584110.94000000018</c:v>
                </c:pt>
                <c:pt idx="2552">
                  <c:v>583988.78000000026</c:v>
                </c:pt>
                <c:pt idx="2553">
                  <c:v>576450.70000000019</c:v>
                </c:pt>
                <c:pt idx="2554">
                  <c:v>571450.70000000019</c:v>
                </c:pt>
                <c:pt idx="2555">
                  <c:v>570851.30000000016</c:v>
                </c:pt>
                <c:pt idx="2556">
                  <c:v>567933.41000000015</c:v>
                </c:pt>
                <c:pt idx="2557">
                  <c:v>532131.53000000014</c:v>
                </c:pt>
                <c:pt idx="2558">
                  <c:v>567952.5900000002</c:v>
                </c:pt>
                <c:pt idx="2559">
                  <c:v>542750.5900000002</c:v>
                </c:pt>
                <c:pt idx="2560">
                  <c:v>540999.5900000002</c:v>
                </c:pt>
                <c:pt idx="2561">
                  <c:v>533884.48000000021</c:v>
                </c:pt>
                <c:pt idx="2562">
                  <c:v>548004.7100000002</c:v>
                </c:pt>
                <c:pt idx="2563">
                  <c:v>546594.75000000012</c:v>
                </c:pt>
                <c:pt idx="2564">
                  <c:v>546243.7100000002</c:v>
                </c:pt>
                <c:pt idx="2565">
                  <c:v>546328.7100000002</c:v>
                </c:pt>
                <c:pt idx="2566">
                  <c:v>546513.7100000002</c:v>
                </c:pt>
                <c:pt idx="2567">
                  <c:v>546573.7100000002</c:v>
                </c:pt>
                <c:pt idx="2568">
                  <c:v>574987.85000000021</c:v>
                </c:pt>
                <c:pt idx="2569">
                  <c:v>574706.7100000002</c:v>
                </c:pt>
                <c:pt idx="2570">
                  <c:v>551723.7100000002</c:v>
                </c:pt>
                <c:pt idx="2571">
                  <c:v>574431.7100000002</c:v>
                </c:pt>
                <c:pt idx="2572">
                  <c:v>608036.88000000012</c:v>
                </c:pt>
                <c:pt idx="2573">
                  <c:v>580688.83000000019</c:v>
                </c:pt>
                <c:pt idx="2574">
                  <c:v>578881.98000000021</c:v>
                </c:pt>
                <c:pt idx="2575">
                  <c:v>567210.98000000021</c:v>
                </c:pt>
                <c:pt idx="2576">
                  <c:v>566297.50000000023</c:v>
                </c:pt>
                <c:pt idx="2577">
                  <c:v>565858.82000000018</c:v>
                </c:pt>
                <c:pt idx="2578">
                  <c:v>565345.58000000019</c:v>
                </c:pt>
                <c:pt idx="2579">
                  <c:v>564638.2100000002</c:v>
                </c:pt>
                <c:pt idx="2580">
                  <c:v>564499.4600000002</c:v>
                </c:pt>
                <c:pt idx="2581">
                  <c:v>561034.4600000002</c:v>
                </c:pt>
                <c:pt idx="2582">
                  <c:v>560898.49000000022</c:v>
                </c:pt>
                <c:pt idx="2583">
                  <c:v>560630.44000000029</c:v>
                </c:pt>
                <c:pt idx="2584">
                  <c:v>537781.44000000029</c:v>
                </c:pt>
                <c:pt idx="2585">
                  <c:v>537691.44000000029</c:v>
                </c:pt>
                <c:pt idx="2586">
                  <c:v>537473.01000000024</c:v>
                </c:pt>
                <c:pt idx="2587">
                  <c:v>537435.21000000031</c:v>
                </c:pt>
                <c:pt idx="2588">
                  <c:v>537296.42000000027</c:v>
                </c:pt>
                <c:pt idx="2589">
                  <c:v>536978.58000000031</c:v>
                </c:pt>
                <c:pt idx="2590">
                  <c:v>536383.58000000031</c:v>
                </c:pt>
                <c:pt idx="2591">
                  <c:v>531383.58000000031</c:v>
                </c:pt>
                <c:pt idx="2592">
                  <c:v>531073.38000000024</c:v>
                </c:pt>
                <c:pt idx="2593">
                  <c:v>530921.86000000022</c:v>
                </c:pt>
                <c:pt idx="2594">
                  <c:v>530909.9600000002</c:v>
                </c:pt>
                <c:pt idx="2595">
                  <c:v>530296.35000000021</c:v>
                </c:pt>
                <c:pt idx="2596">
                  <c:v>530156.35000000021</c:v>
                </c:pt>
                <c:pt idx="2597">
                  <c:v>528379.35000000021</c:v>
                </c:pt>
                <c:pt idx="2598">
                  <c:v>528200.85000000021</c:v>
                </c:pt>
                <c:pt idx="2599">
                  <c:v>528098.38000000024</c:v>
                </c:pt>
                <c:pt idx="2600">
                  <c:v>528063.88000000024</c:v>
                </c:pt>
                <c:pt idx="2601">
                  <c:v>488574.49000000022</c:v>
                </c:pt>
                <c:pt idx="2602">
                  <c:v>489433.49000000022</c:v>
                </c:pt>
                <c:pt idx="2603">
                  <c:v>489379.97000000026</c:v>
                </c:pt>
                <c:pt idx="2604">
                  <c:v>489302.29000000027</c:v>
                </c:pt>
                <c:pt idx="2605">
                  <c:v>485869.14000000025</c:v>
                </c:pt>
                <c:pt idx="2606">
                  <c:v>485650.71000000031</c:v>
                </c:pt>
                <c:pt idx="2607">
                  <c:v>485563.30000000028</c:v>
                </c:pt>
                <c:pt idx="2608">
                  <c:v>485499.69000000029</c:v>
                </c:pt>
                <c:pt idx="2609">
                  <c:v>485236.69000000029</c:v>
                </c:pt>
                <c:pt idx="2610">
                  <c:v>485221.69000000029</c:v>
                </c:pt>
                <c:pt idx="2611">
                  <c:v>485221.69000000029</c:v>
                </c:pt>
                <c:pt idx="2612">
                  <c:v>485095.69000000029</c:v>
                </c:pt>
                <c:pt idx="2613">
                  <c:v>484028.89000000031</c:v>
                </c:pt>
                <c:pt idx="2614">
                  <c:v>483998.04000000027</c:v>
                </c:pt>
                <c:pt idx="2615">
                  <c:v>483454.24000000034</c:v>
                </c:pt>
                <c:pt idx="2616">
                  <c:v>483454.24000000034</c:v>
                </c:pt>
                <c:pt idx="2617">
                  <c:v>482519.37000000029</c:v>
                </c:pt>
                <c:pt idx="2618">
                  <c:v>482238.23000000027</c:v>
                </c:pt>
                <c:pt idx="2619">
                  <c:v>482266.54000000027</c:v>
                </c:pt>
                <c:pt idx="2620">
                  <c:v>482336.54000000027</c:v>
                </c:pt>
                <c:pt idx="2621">
                  <c:v>482930.54000000027</c:v>
                </c:pt>
                <c:pt idx="2622">
                  <c:v>483255.54000000027</c:v>
                </c:pt>
                <c:pt idx="2623">
                  <c:v>483420.54000000027</c:v>
                </c:pt>
                <c:pt idx="2624">
                  <c:v>487008.74000000028</c:v>
                </c:pt>
                <c:pt idx="2625">
                  <c:v>487105.24000000028</c:v>
                </c:pt>
                <c:pt idx="2626">
                  <c:v>504280.04000000027</c:v>
                </c:pt>
                <c:pt idx="2627">
                  <c:v>503880.04000000027</c:v>
                </c:pt>
                <c:pt idx="2628">
                  <c:v>503879.7000000003</c:v>
                </c:pt>
                <c:pt idx="2629">
                  <c:v>475525.52000000025</c:v>
                </c:pt>
                <c:pt idx="2630">
                  <c:v>473783.38000000024</c:v>
                </c:pt>
                <c:pt idx="2631">
                  <c:v>466000.28000000026</c:v>
                </c:pt>
                <c:pt idx="2632">
                  <c:v>463447.67000000027</c:v>
                </c:pt>
                <c:pt idx="2633">
                  <c:v>463380.54000000027</c:v>
                </c:pt>
                <c:pt idx="2634">
                  <c:v>462110.64000000025</c:v>
                </c:pt>
                <c:pt idx="2635">
                  <c:v>461892.21000000025</c:v>
                </c:pt>
                <c:pt idx="2636">
                  <c:v>461825.23000000021</c:v>
                </c:pt>
                <c:pt idx="2637">
                  <c:v>461561.30000000028</c:v>
                </c:pt>
                <c:pt idx="2638">
                  <c:v>461122.62000000023</c:v>
                </c:pt>
                <c:pt idx="2639">
                  <c:v>460869.63000000024</c:v>
                </c:pt>
                <c:pt idx="2640">
                  <c:v>460761.65000000026</c:v>
                </c:pt>
                <c:pt idx="2641">
                  <c:v>460761.65000000026</c:v>
                </c:pt>
                <c:pt idx="2642">
                  <c:v>460196.65000000026</c:v>
                </c:pt>
                <c:pt idx="2643">
                  <c:v>459915.51000000024</c:v>
                </c:pt>
                <c:pt idx="2644">
                  <c:v>459886.41000000027</c:v>
                </c:pt>
                <c:pt idx="2645">
                  <c:v>455663.64000000025</c:v>
                </c:pt>
                <c:pt idx="2646">
                  <c:v>461338.53000000026</c:v>
                </c:pt>
                <c:pt idx="2647">
                  <c:v>456865.53000000026</c:v>
                </c:pt>
                <c:pt idx="2648">
                  <c:v>497366.83000000025</c:v>
                </c:pt>
                <c:pt idx="2649">
                  <c:v>491483.00000000023</c:v>
                </c:pt>
                <c:pt idx="2650">
                  <c:v>491470.85000000027</c:v>
                </c:pt>
                <c:pt idx="2651">
                  <c:v>491440.00000000023</c:v>
                </c:pt>
                <c:pt idx="2652">
                  <c:v>489375.34000000026</c:v>
                </c:pt>
                <c:pt idx="2653">
                  <c:v>483949.34000000026</c:v>
                </c:pt>
                <c:pt idx="2654">
                  <c:v>483593.28000000026</c:v>
                </c:pt>
                <c:pt idx="2655">
                  <c:v>483447.88000000024</c:v>
                </c:pt>
                <c:pt idx="2656">
                  <c:v>455216.94000000029</c:v>
                </c:pt>
                <c:pt idx="2657">
                  <c:v>447008.44000000029</c:v>
                </c:pt>
                <c:pt idx="2658">
                  <c:v>442785.67000000027</c:v>
                </c:pt>
                <c:pt idx="2659">
                  <c:v>447008.44000000029</c:v>
                </c:pt>
                <c:pt idx="2660">
                  <c:v>455032.44000000029</c:v>
                </c:pt>
                <c:pt idx="2661">
                  <c:v>452425.99000000022</c:v>
                </c:pt>
                <c:pt idx="2662">
                  <c:v>452200.73000000021</c:v>
                </c:pt>
                <c:pt idx="2663">
                  <c:v>452010.33000000025</c:v>
                </c:pt>
                <c:pt idx="2664">
                  <c:v>449945.67000000027</c:v>
                </c:pt>
                <c:pt idx="2665">
                  <c:v>446345.67000000027</c:v>
                </c:pt>
                <c:pt idx="2666">
                  <c:v>445732.06000000029</c:v>
                </c:pt>
                <c:pt idx="2667">
                  <c:v>405035.35000000027</c:v>
                </c:pt>
                <c:pt idx="2668">
                  <c:v>396861.35000000027</c:v>
                </c:pt>
                <c:pt idx="2669">
                  <c:v>394225.05000000028</c:v>
                </c:pt>
                <c:pt idx="2670">
                  <c:v>394155.75000000029</c:v>
                </c:pt>
                <c:pt idx="2671">
                  <c:v>410954.14000000031</c:v>
                </c:pt>
                <c:pt idx="2672">
                  <c:v>411004.14000000031</c:v>
                </c:pt>
                <c:pt idx="2673">
                  <c:v>411285.64000000031</c:v>
                </c:pt>
                <c:pt idx="2674">
                  <c:v>410492.64000000031</c:v>
                </c:pt>
                <c:pt idx="2675">
                  <c:v>410877.64000000031</c:v>
                </c:pt>
                <c:pt idx="2676">
                  <c:v>410877.64000000031</c:v>
                </c:pt>
                <c:pt idx="2677">
                  <c:v>410877.64000000031</c:v>
                </c:pt>
                <c:pt idx="2678">
                  <c:v>410877.64000000031</c:v>
                </c:pt>
                <c:pt idx="2679">
                  <c:v>410877.64000000031</c:v>
                </c:pt>
                <c:pt idx="2680">
                  <c:v>410537.68000000028</c:v>
                </c:pt>
                <c:pt idx="2681">
                  <c:v>407619.79000000027</c:v>
                </c:pt>
                <c:pt idx="2682">
                  <c:v>407543.8200000003</c:v>
                </c:pt>
                <c:pt idx="2683">
                  <c:v>401243.74000000034</c:v>
                </c:pt>
                <c:pt idx="2684">
                  <c:v>401222.74000000034</c:v>
                </c:pt>
                <c:pt idx="2685">
                  <c:v>401145.06000000029</c:v>
                </c:pt>
                <c:pt idx="2686">
                  <c:v>401095.51000000036</c:v>
                </c:pt>
                <c:pt idx="2687">
                  <c:v>400829.12000000034</c:v>
                </c:pt>
                <c:pt idx="2688">
                  <c:v>400315.3200000003</c:v>
                </c:pt>
                <c:pt idx="2689">
                  <c:v>400288.31000000029</c:v>
                </c:pt>
                <c:pt idx="2690">
                  <c:v>394766.33000000031</c:v>
                </c:pt>
                <c:pt idx="2691">
                  <c:v>394171.33000000031</c:v>
                </c:pt>
                <c:pt idx="2692">
                  <c:v>393630.77000000031</c:v>
                </c:pt>
                <c:pt idx="2693">
                  <c:v>393367.77000000031</c:v>
                </c:pt>
                <c:pt idx="2694">
                  <c:v>393100.47000000032</c:v>
                </c:pt>
                <c:pt idx="2695">
                  <c:v>392975.47000000032</c:v>
                </c:pt>
                <c:pt idx="2696">
                  <c:v>392975.47000000032</c:v>
                </c:pt>
                <c:pt idx="2697">
                  <c:v>392288.9500000003</c:v>
                </c:pt>
                <c:pt idx="2698">
                  <c:v>418381.64000000036</c:v>
                </c:pt>
                <c:pt idx="2699">
                  <c:v>418399.28000000038</c:v>
                </c:pt>
                <c:pt idx="2700">
                  <c:v>433084.49000000034</c:v>
                </c:pt>
                <c:pt idx="2701">
                  <c:v>432988.35000000033</c:v>
                </c:pt>
                <c:pt idx="2702">
                  <c:v>432969.35000000033</c:v>
                </c:pt>
                <c:pt idx="2703">
                  <c:v>432837.61000000034</c:v>
                </c:pt>
                <c:pt idx="2704">
                  <c:v>429919.72000000032</c:v>
                </c:pt>
                <c:pt idx="2705">
                  <c:v>388919.72000000032</c:v>
                </c:pt>
                <c:pt idx="2706">
                  <c:v>428919.72000000032</c:v>
                </c:pt>
                <c:pt idx="2707">
                  <c:v>428701.29000000033</c:v>
                </c:pt>
                <c:pt idx="2708">
                  <c:v>422817.46000000031</c:v>
                </c:pt>
                <c:pt idx="2709">
                  <c:v>422789.46000000031</c:v>
                </c:pt>
                <c:pt idx="2710">
                  <c:v>422397.54000000033</c:v>
                </c:pt>
                <c:pt idx="2711">
                  <c:v>420838.01000000036</c:v>
                </c:pt>
                <c:pt idx="2712">
                  <c:v>381522.05000000034</c:v>
                </c:pt>
                <c:pt idx="2713">
                  <c:v>381757.05000000034</c:v>
                </c:pt>
                <c:pt idx="2714">
                  <c:v>382257.05000000034</c:v>
                </c:pt>
                <c:pt idx="2715">
                  <c:v>382650.05000000034</c:v>
                </c:pt>
                <c:pt idx="2716">
                  <c:v>445147.27000000031</c:v>
                </c:pt>
                <c:pt idx="2717">
                  <c:v>444425.5700000003</c:v>
                </c:pt>
                <c:pt idx="2718">
                  <c:v>444304.47000000032</c:v>
                </c:pt>
                <c:pt idx="2719">
                  <c:v>444275.37000000029</c:v>
                </c:pt>
                <c:pt idx="2720">
                  <c:v>467727.92000000027</c:v>
                </c:pt>
                <c:pt idx="2721">
                  <c:v>505547.92000000027</c:v>
                </c:pt>
                <c:pt idx="2722">
                  <c:v>498151.71000000031</c:v>
                </c:pt>
                <c:pt idx="2723">
                  <c:v>457921.61000000028</c:v>
                </c:pt>
                <c:pt idx="2724">
                  <c:v>457871.21000000031</c:v>
                </c:pt>
                <c:pt idx="2725">
                  <c:v>457829.21000000031</c:v>
                </c:pt>
                <c:pt idx="2726">
                  <c:v>457679.21000000031</c:v>
                </c:pt>
                <c:pt idx="2727">
                  <c:v>457460.78000000026</c:v>
                </c:pt>
                <c:pt idx="2728">
                  <c:v>457437.68000000028</c:v>
                </c:pt>
                <c:pt idx="2729">
                  <c:v>454918.8800000003</c:v>
                </c:pt>
                <c:pt idx="2730">
                  <c:v>454722.2600000003</c:v>
                </c:pt>
                <c:pt idx="2731">
                  <c:v>454668.74000000034</c:v>
                </c:pt>
                <c:pt idx="2732">
                  <c:v>454578.74000000034</c:v>
                </c:pt>
                <c:pt idx="2733">
                  <c:v>453983.74000000034</c:v>
                </c:pt>
                <c:pt idx="2734">
                  <c:v>453916.74000000034</c:v>
                </c:pt>
                <c:pt idx="2735">
                  <c:v>453773.94000000029</c:v>
                </c:pt>
                <c:pt idx="2736">
                  <c:v>453567.34000000032</c:v>
                </c:pt>
                <c:pt idx="2737">
                  <c:v>453458.14000000031</c:v>
                </c:pt>
                <c:pt idx="2738">
                  <c:v>452844.53000000032</c:v>
                </c:pt>
                <c:pt idx="2739">
                  <c:v>452738.89000000031</c:v>
                </c:pt>
                <c:pt idx="2740">
                  <c:v>452718.89000000031</c:v>
                </c:pt>
                <c:pt idx="2741">
                  <c:v>416446.93000000028</c:v>
                </c:pt>
                <c:pt idx="2742">
                  <c:v>416412.43000000028</c:v>
                </c:pt>
                <c:pt idx="2743">
                  <c:v>415812.43000000028</c:v>
                </c:pt>
                <c:pt idx="2744">
                  <c:v>415644.43000000028</c:v>
                </c:pt>
                <c:pt idx="2745">
                  <c:v>415604.18000000028</c:v>
                </c:pt>
                <c:pt idx="2746">
                  <c:v>415090.38000000035</c:v>
                </c:pt>
                <c:pt idx="2747">
                  <c:v>414959.08000000031</c:v>
                </c:pt>
                <c:pt idx="2748">
                  <c:v>414974.06000000035</c:v>
                </c:pt>
                <c:pt idx="2749">
                  <c:v>376810.90000000037</c:v>
                </c:pt>
                <c:pt idx="2750">
                  <c:v>414751.51000000036</c:v>
                </c:pt>
                <c:pt idx="2751">
                  <c:v>414495.41000000032</c:v>
                </c:pt>
                <c:pt idx="2752">
                  <c:v>414276.98000000033</c:v>
                </c:pt>
                <c:pt idx="2753">
                  <c:v>413796.79000000033</c:v>
                </c:pt>
                <c:pt idx="2754">
                  <c:v>413671.79000000033</c:v>
                </c:pt>
                <c:pt idx="2755">
                  <c:v>413406.32000000036</c:v>
                </c:pt>
                <c:pt idx="2756">
                  <c:v>413168.21000000031</c:v>
                </c:pt>
                <c:pt idx="2757">
                  <c:v>412089.25000000035</c:v>
                </c:pt>
                <c:pt idx="2758">
                  <c:v>411998.15000000031</c:v>
                </c:pt>
                <c:pt idx="2759">
                  <c:v>411435.39000000036</c:v>
                </c:pt>
                <c:pt idx="2760">
                  <c:v>411754.39000000036</c:v>
                </c:pt>
                <c:pt idx="2761">
                  <c:v>412114.39000000036</c:v>
                </c:pt>
                <c:pt idx="2762">
                  <c:v>412139.39000000036</c:v>
                </c:pt>
                <c:pt idx="2763">
                  <c:v>412473.39000000036</c:v>
                </c:pt>
                <c:pt idx="2764">
                  <c:v>412756.39000000036</c:v>
                </c:pt>
                <c:pt idx="2765">
                  <c:v>420779.4500000003</c:v>
                </c:pt>
                <c:pt idx="2766">
                  <c:v>381244.38000000035</c:v>
                </c:pt>
                <c:pt idx="2767">
                  <c:v>379931.54000000033</c:v>
                </c:pt>
                <c:pt idx="2768">
                  <c:v>429931.54000000033</c:v>
                </c:pt>
                <c:pt idx="2769">
                  <c:v>429366.54000000033</c:v>
                </c:pt>
                <c:pt idx="2770">
                  <c:v>429337.44000000029</c:v>
                </c:pt>
                <c:pt idx="2771">
                  <c:v>425367.64000000036</c:v>
                </c:pt>
                <c:pt idx="2772">
                  <c:v>429337.44000000029</c:v>
                </c:pt>
                <c:pt idx="2773">
                  <c:v>446210.33000000031</c:v>
                </c:pt>
                <c:pt idx="2774">
                  <c:v>446235.28000000032</c:v>
                </c:pt>
                <c:pt idx="2775">
                  <c:v>444170.62000000034</c:v>
                </c:pt>
                <c:pt idx="2776">
                  <c:v>444030.03000000032</c:v>
                </c:pt>
                <c:pt idx="2777">
                  <c:v>443270.48000000033</c:v>
                </c:pt>
                <c:pt idx="2778">
                  <c:v>443263.73000000033</c:v>
                </c:pt>
                <c:pt idx="2779">
                  <c:v>443230.13000000035</c:v>
                </c:pt>
                <c:pt idx="2780">
                  <c:v>442967.13000000035</c:v>
                </c:pt>
                <c:pt idx="2781">
                  <c:v>442937.93000000028</c:v>
                </c:pt>
                <c:pt idx="2782">
                  <c:v>442930.93000000028</c:v>
                </c:pt>
                <c:pt idx="2783">
                  <c:v>442539.0100000003</c:v>
                </c:pt>
                <c:pt idx="2784">
                  <c:v>432539.0100000003</c:v>
                </c:pt>
                <c:pt idx="2785">
                  <c:v>432485.49000000034</c:v>
                </c:pt>
                <c:pt idx="2786">
                  <c:v>431905.30000000028</c:v>
                </c:pt>
                <c:pt idx="2787">
                  <c:v>431853.12000000034</c:v>
                </c:pt>
                <c:pt idx="2788">
                  <c:v>431953.12000000034</c:v>
                </c:pt>
                <c:pt idx="2789">
                  <c:v>431837.84000000032</c:v>
                </c:pt>
                <c:pt idx="2790">
                  <c:v>424057.53000000032</c:v>
                </c:pt>
                <c:pt idx="2791">
                  <c:v>423979.85000000033</c:v>
                </c:pt>
                <c:pt idx="2792">
                  <c:v>424749.85000000033</c:v>
                </c:pt>
                <c:pt idx="2793">
                  <c:v>449949.85000000033</c:v>
                </c:pt>
                <c:pt idx="2794">
                  <c:v>470589.10000000033</c:v>
                </c:pt>
                <c:pt idx="2795">
                  <c:v>470389.57999999996</c:v>
                </c:pt>
                <c:pt idx="2796">
                  <c:v>466632.07999999996</c:v>
                </c:pt>
                <c:pt idx="2797">
                  <c:v>463707.07999999996</c:v>
                </c:pt>
                <c:pt idx="2798">
                  <c:v>463706.86</c:v>
                </c:pt>
                <c:pt idx="2799">
                  <c:v>463706.93</c:v>
                </c:pt>
                <c:pt idx="2800">
                  <c:v>463707.07999999996</c:v>
                </c:pt>
                <c:pt idx="2801">
                  <c:v>463672.07999999996</c:v>
                </c:pt>
                <c:pt idx="2802">
                  <c:v>424871.57999999996</c:v>
                </c:pt>
                <c:pt idx="2803">
                  <c:v>424531.62</c:v>
                </c:pt>
                <c:pt idx="2804">
                  <c:v>424907.62</c:v>
                </c:pt>
                <c:pt idx="2805">
                  <c:v>424878.92</c:v>
                </c:pt>
                <c:pt idx="2806">
                  <c:v>424660.49</c:v>
                </c:pt>
                <c:pt idx="2807">
                  <c:v>422595.82999999996</c:v>
                </c:pt>
                <c:pt idx="2808">
                  <c:v>421617.74</c:v>
                </c:pt>
                <c:pt idx="2809">
                  <c:v>420844.98</c:v>
                </c:pt>
                <c:pt idx="2810">
                  <c:v>420581.98</c:v>
                </c:pt>
                <c:pt idx="2811">
                  <c:v>420421.98</c:v>
                </c:pt>
                <c:pt idx="2812">
                  <c:v>420271.98</c:v>
                </c:pt>
                <c:pt idx="2813">
                  <c:v>416229.67</c:v>
                </c:pt>
                <c:pt idx="2814">
                  <c:v>416132.06999999995</c:v>
                </c:pt>
                <c:pt idx="2815">
                  <c:v>416099.28</c:v>
                </c:pt>
                <c:pt idx="2816">
                  <c:v>415835.11</c:v>
                </c:pt>
                <c:pt idx="2817">
                  <c:v>415635.11</c:v>
                </c:pt>
                <c:pt idx="2818">
                  <c:v>415389.86</c:v>
                </c:pt>
                <c:pt idx="2819">
                  <c:v>415282.01</c:v>
                </c:pt>
                <c:pt idx="2820">
                  <c:v>414668.14</c:v>
                </c:pt>
                <c:pt idx="2821">
                  <c:v>414394.44</c:v>
                </c:pt>
                <c:pt idx="2822">
                  <c:v>413784.44</c:v>
                </c:pt>
                <c:pt idx="2823">
                  <c:v>451996.07999999996</c:v>
                </c:pt>
                <c:pt idx="2824">
                  <c:v>413801.61</c:v>
                </c:pt>
                <c:pt idx="2825">
                  <c:v>375879.52</c:v>
                </c:pt>
                <c:pt idx="2826">
                  <c:v>370049.44</c:v>
                </c:pt>
                <c:pt idx="2827">
                  <c:v>369451.61</c:v>
                </c:pt>
                <c:pt idx="2828">
                  <c:v>369326.61</c:v>
                </c:pt>
                <c:pt idx="2829">
                  <c:v>368190.56</c:v>
                </c:pt>
                <c:pt idx="2830">
                  <c:v>368056.35</c:v>
                </c:pt>
                <c:pt idx="2831">
                  <c:v>368039.85</c:v>
                </c:pt>
                <c:pt idx="2832">
                  <c:v>364039.85</c:v>
                </c:pt>
                <c:pt idx="2833">
                  <c:v>363890.69999999995</c:v>
                </c:pt>
                <c:pt idx="2834">
                  <c:v>362890.69999999995</c:v>
                </c:pt>
                <c:pt idx="2835">
                  <c:v>361486.26</c:v>
                </c:pt>
                <c:pt idx="2836">
                  <c:v>360972.45999999996</c:v>
                </c:pt>
                <c:pt idx="2837">
                  <c:v>360376.55</c:v>
                </c:pt>
                <c:pt idx="2838">
                  <c:v>360358.55</c:v>
                </c:pt>
                <c:pt idx="2839">
                  <c:v>360140.12</c:v>
                </c:pt>
                <c:pt idx="2840">
                  <c:v>360122.12</c:v>
                </c:pt>
                <c:pt idx="2841">
                  <c:v>359917.33999999997</c:v>
                </c:pt>
                <c:pt idx="2842">
                  <c:v>358001.45999999996</c:v>
                </c:pt>
                <c:pt idx="2843">
                  <c:v>355080.42</c:v>
                </c:pt>
                <c:pt idx="2844">
                  <c:v>355325.42</c:v>
                </c:pt>
                <c:pt idx="2845">
                  <c:v>355645.42</c:v>
                </c:pt>
                <c:pt idx="2846">
                  <c:v>355710.42</c:v>
                </c:pt>
                <c:pt idx="2847">
                  <c:v>387281.72</c:v>
                </c:pt>
                <c:pt idx="2848">
                  <c:v>387792.72</c:v>
                </c:pt>
                <c:pt idx="2849">
                  <c:v>386693.89</c:v>
                </c:pt>
                <c:pt idx="2850">
                  <c:v>403606.37</c:v>
                </c:pt>
                <c:pt idx="2851">
                  <c:v>402581.49</c:v>
                </c:pt>
                <c:pt idx="2852">
                  <c:v>402189.56999999995</c:v>
                </c:pt>
                <c:pt idx="2853">
                  <c:v>402044.56999999995</c:v>
                </c:pt>
                <c:pt idx="2854">
                  <c:v>401479.56999999995</c:v>
                </c:pt>
                <c:pt idx="2855">
                  <c:v>401450.47</c:v>
                </c:pt>
                <c:pt idx="2856">
                  <c:v>401450.62</c:v>
                </c:pt>
                <c:pt idx="2857">
                  <c:v>402510.08000000002</c:v>
                </c:pt>
                <c:pt idx="2858">
                  <c:v>406227.78</c:v>
                </c:pt>
                <c:pt idx="2859">
                  <c:v>406327.38</c:v>
                </c:pt>
                <c:pt idx="2860">
                  <c:v>373220.45</c:v>
                </c:pt>
                <c:pt idx="2861">
                  <c:v>373166.93000000005</c:v>
                </c:pt>
                <c:pt idx="2862">
                  <c:v>372948.5</c:v>
                </c:pt>
                <c:pt idx="2863">
                  <c:v>370574.71</c:v>
                </c:pt>
                <c:pt idx="2864">
                  <c:v>371073.9</c:v>
                </c:pt>
                <c:pt idx="2865">
                  <c:v>370733.94</c:v>
                </c:pt>
                <c:pt idx="2866">
                  <c:v>370983.38</c:v>
                </c:pt>
                <c:pt idx="2867">
                  <c:v>370948.88</c:v>
                </c:pt>
                <c:pt idx="2868">
                  <c:v>372948.88</c:v>
                </c:pt>
                <c:pt idx="2869">
                  <c:v>372818.97</c:v>
                </c:pt>
                <c:pt idx="2870">
                  <c:v>372668.97</c:v>
                </c:pt>
                <c:pt idx="2871">
                  <c:v>372514.27</c:v>
                </c:pt>
                <c:pt idx="2872">
                  <c:v>370449.61</c:v>
                </c:pt>
                <c:pt idx="2873">
                  <c:v>370263.06</c:v>
                </c:pt>
                <c:pt idx="2874">
                  <c:v>370127.99</c:v>
                </c:pt>
                <c:pt idx="2875">
                  <c:v>367439.1</c:v>
                </c:pt>
                <c:pt idx="2876">
                  <c:v>367173.56</c:v>
                </c:pt>
                <c:pt idx="2877">
                  <c:v>367149.36</c:v>
                </c:pt>
                <c:pt idx="2878">
                  <c:v>366554.36</c:v>
                </c:pt>
                <c:pt idx="2879">
                  <c:v>366291.36</c:v>
                </c:pt>
                <c:pt idx="2880">
                  <c:v>365726.4</c:v>
                </c:pt>
                <c:pt idx="2881">
                  <c:v>363341.49</c:v>
                </c:pt>
                <c:pt idx="2882">
                  <c:v>363249.49</c:v>
                </c:pt>
                <c:pt idx="2883">
                  <c:v>397533.02</c:v>
                </c:pt>
                <c:pt idx="2884">
                  <c:v>397533.02</c:v>
                </c:pt>
                <c:pt idx="2885">
                  <c:v>373166.30000000005</c:v>
                </c:pt>
                <c:pt idx="2886">
                  <c:v>373220.75</c:v>
                </c:pt>
                <c:pt idx="2887">
                  <c:v>373273.14</c:v>
                </c:pt>
                <c:pt idx="2888">
                  <c:v>398405.97</c:v>
                </c:pt>
                <c:pt idx="2889">
                  <c:v>425038.58</c:v>
                </c:pt>
                <c:pt idx="2890">
                  <c:v>449217.56</c:v>
                </c:pt>
                <c:pt idx="2891">
                  <c:v>449228.73</c:v>
                </c:pt>
                <c:pt idx="2892">
                  <c:v>449010.30000000005</c:v>
                </c:pt>
                <c:pt idx="2893">
                  <c:v>448670.33999999997</c:v>
                </c:pt>
                <c:pt idx="2894">
                  <c:v>448769.94</c:v>
                </c:pt>
                <c:pt idx="2895">
                  <c:v>445848.65</c:v>
                </c:pt>
                <c:pt idx="2896">
                  <c:v>445609.57</c:v>
                </c:pt>
                <c:pt idx="2897">
                  <c:v>445591.92000000004</c:v>
                </c:pt>
                <c:pt idx="2898">
                  <c:v>440533.01</c:v>
                </c:pt>
                <c:pt idx="2899">
                  <c:v>440470.07</c:v>
                </c:pt>
                <c:pt idx="2900">
                  <c:v>440086.57</c:v>
                </c:pt>
                <c:pt idx="2901">
                  <c:v>439732.36</c:v>
                </c:pt>
                <c:pt idx="2902">
                  <c:v>439597.36</c:v>
                </c:pt>
                <c:pt idx="2903">
                  <c:v>439513.04000000004</c:v>
                </c:pt>
                <c:pt idx="2904">
                  <c:v>439457.80000000005</c:v>
                </c:pt>
                <c:pt idx="2905">
                  <c:v>439224.1</c:v>
                </c:pt>
                <c:pt idx="2906">
                  <c:v>438658.61</c:v>
                </c:pt>
                <c:pt idx="2907">
                  <c:v>437511.81</c:v>
                </c:pt>
                <c:pt idx="2908">
                  <c:v>437611.41000000003</c:v>
                </c:pt>
                <c:pt idx="2909">
                  <c:v>437853.11</c:v>
                </c:pt>
                <c:pt idx="2910">
                  <c:v>437288.11</c:v>
                </c:pt>
                <c:pt idx="2911">
                  <c:v>437537.55000000005</c:v>
                </c:pt>
                <c:pt idx="2912">
                  <c:v>437508.45</c:v>
                </c:pt>
                <c:pt idx="2913">
                  <c:v>454393.36</c:v>
                </c:pt>
                <c:pt idx="2914">
                  <c:v>454174.93000000005</c:v>
                </c:pt>
                <c:pt idx="2915">
                  <c:v>455174.97</c:v>
                </c:pt>
                <c:pt idx="2916">
                  <c:v>454816.45</c:v>
                </c:pt>
                <c:pt idx="2917">
                  <c:v>454169.53</c:v>
                </c:pt>
                <c:pt idx="2918">
                  <c:v>454169.53</c:v>
                </c:pt>
                <c:pt idx="2919">
                  <c:v>454169.53</c:v>
                </c:pt>
              </c:numCache>
            </c:numRef>
          </c:val>
          <c:smooth val="0"/>
          <c:extLst>
            <c:ext xmlns:c16="http://schemas.microsoft.com/office/drawing/2014/chart" uri="{C3380CC4-5D6E-409C-BE32-E72D297353CC}">
              <c16:uniqueId val="{00000000-70B6-46A2-AC1F-39754E11E3D5}"/>
            </c:ext>
          </c:extLst>
        </c:ser>
        <c:dLbls>
          <c:showLegendKey val="0"/>
          <c:showVal val="0"/>
          <c:showCatName val="0"/>
          <c:showSerName val="0"/>
          <c:showPercent val="0"/>
          <c:showBubbleSize val="0"/>
        </c:dLbls>
        <c:smooth val="0"/>
        <c:axId val="1832741807"/>
        <c:axId val="1832742287"/>
      </c:lineChart>
      <c:catAx>
        <c:axId val="1832741807"/>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2742287"/>
        <c:crosses val="autoZero"/>
        <c:auto val="1"/>
        <c:lblAlgn val="ctr"/>
        <c:lblOffset val="100"/>
        <c:noMultiLvlLbl val="0"/>
      </c:catAx>
      <c:valAx>
        <c:axId val="183274228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27418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Data!$K$525</c:f>
              <c:strCache>
                <c:ptCount val="1"/>
                <c:pt idx="0">
                  <c:v>Investment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Data!$J$529:$J$631</c:f>
              <c:numCache>
                <c:formatCode>mmm\-yy</c:formatCode>
                <c:ptCount val="103"/>
                <c:pt idx="0">
                  <c:v>42461</c:v>
                </c:pt>
                <c:pt idx="1">
                  <c:v>42491</c:v>
                </c:pt>
                <c:pt idx="2">
                  <c:v>42551</c:v>
                </c:pt>
                <c:pt idx="3">
                  <c:v>42582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pt idx="38">
                  <c:v>43617</c:v>
                </c:pt>
                <c:pt idx="39">
                  <c:v>43647</c:v>
                </c:pt>
                <c:pt idx="40">
                  <c:v>43678</c:v>
                </c:pt>
                <c:pt idx="41">
                  <c:v>43709</c:v>
                </c:pt>
                <c:pt idx="42">
                  <c:v>43739</c:v>
                </c:pt>
                <c:pt idx="43">
                  <c:v>43770</c:v>
                </c:pt>
                <c:pt idx="44">
                  <c:v>43800</c:v>
                </c:pt>
                <c:pt idx="45">
                  <c:v>43831</c:v>
                </c:pt>
                <c:pt idx="46">
                  <c:v>43862</c:v>
                </c:pt>
                <c:pt idx="47">
                  <c:v>43891</c:v>
                </c:pt>
                <c:pt idx="48">
                  <c:v>43922</c:v>
                </c:pt>
                <c:pt idx="49">
                  <c:v>43952</c:v>
                </c:pt>
                <c:pt idx="50">
                  <c:v>43983</c:v>
                </c:pt>
                <c:pt idx="51">
                  <c:v>44013</c:v>
                </c:pt>
                <c:pt idx="52">
                  <c:v>44044</c:v>
                </c:pt>
                <c:pt idx="53">
                  <c:v>44075</c:v>
                </c:pt>
                <c:pt idx="54">
                  <c:v>44105</c:v>
                </c:pt>
                <c:pt idx="55">
                  <c:v>44136</c:v>
                </c:pt>
                <c:pt idx="56">
                  <c:v>44166</c:v>
                </c:pt>
                <c:pt idx="57">
                  <c:v>44197</c:v>
                </c:pt>
                <c:pt idx="58">
                  <c:v>44228</c:v>
                </c:pt>
                <c:pt idx="59">
                  <c:v>44256</c:v>
                </c:pt>
                <c:pt idx="60">
                  <c:v>44287</c:v>
                </c:pt>
                <c:pt idx="61">
                  <c:v>44317</c:v>
                </c:pt>
                <c:pt idx="62">
                  <c:v>44348</c:v>
                </c:pt>
                <c:pt idx="63">
                  <c:v>44378</c:v>
                </c:pt>
                <c:pt idx="64">
                  <c:v>44409</c:v>
                </c:pt>
                <c:pt idx="65">
                  <c:v>44440</c:v>
                </c:pt>
                <c:pt idx="66">
                  <c:v>44470</c:v>
                </c:pt>
                <c:pt idx="67">
                  <c:v>44501</c:v>
                </c:pt>
                <c:pt idx="68">
                  <c:v>44531</c:v>
                </c:pt>
                <c:pt idx="69">
                  <c:v>44562</c:v>
                </c:pt>
                <c:pt idx="70">
                  <c:v>44593</c:v>
                </c:pt>
                <c:pt idx="71">
                  <c:v>44621</c:v>
                </c:pt>
                <c:pt idx="72">
                  <c:v>44652</c:v>
                </c:pt>
                <c:pt idx="73">
                  <c:v>44682</c:v>
                </c:pt>
                <c:pt idx="74">
                  <c:v>44713</c:v>
                </c:pt>
                <c:pt idx="75">
                  <c:v>44743</c:v>
                </c:pt>
                <c:pt idx="76">
                  <c:v>44774</c:v>
                </c:pt>
                <c:pt idx="77">
                  <c:v>44805</c:v>
                </c:pt>
                <c:pt idx="78">
                  <c:v>44835</c:v>
                </c:pt>
                <c:pt idx="79">
                  <c:v>44866</c:v>
                </c:pt>
                <c:pt idx="80">
                  <c:v>44896</c:v>
                </c:pt>
                <c:pt idx="81">
                  <c:v>44927</c:v>
                </c:pt>
                <c:pt idx="82">
                  <c:v>44958</c:v>
                </c:pt>
                <c:pt idx="83">
                  <c:v>44986</c:v>
                </c:pt>
                <c:pt idx="84">
                  <c:v>45017</c:v>
                </c:pt>
                <c:pt idx="85">
                  <c:v>45047</c:v>
                </c:pt>
                <c:pt idx="86">
                  <c:v>45078</c:v>
                </c:pt>
                <c:pt idx="87">
                  <c:v>45108</c:v>
                </c:pt>
                <c:pt idx="88">
                  <c:v>45139</c:v>
                </c:pt>
                <c:pt idx="89">
                  <c:v>45170</c:v>
                </c:pt>
                <c:pt idx="90">
                  <c:v>45200</c:v>
                </c:pt>
                <c:pt idx="91">
                  <c:v>45231</c:v>
                </c:pt>
                <c:pt idx="92">
                  <c:v>45261</c:v>
                </c:pt>
                <c:pt idx="93">
                  <c:v>45292</c:v>
                </c:pt>
                <c:pt idx="94">
                  <c:v>45323</c:v>
                </c:pt>
                <c:pt idx="95">
                  <c:v>45352</c:v>
                </c:pt>
                <c:pt idx="96">
                  <c:v>45383</c:v>
                </c:pt>
                <c:pt idx="97">
                  <c:v>45413</c:v>
                </c:pt>
                <c:pt idx="98">
                  <c:v>45444</c:v>
                </c:pt>
                <c:pt idx="99">
                  <c:v>45474</c:v>
                </c:pt>
                <c:pt idx="100">
                  <c:v>45505</c:v>
                </c:pt>
                <c:pt idx="101">
                  <c:v>45536</c:v>
                </c:pt>
                <c:pt idx="102">
                  <c:v>45566</c:v>
                </c:pt>
              </c:numCache>
            </c:numRef>
          </c:xVal>
          <c:yVal>
            <c:numRef>
              <c:f>Data!$K$529:$K$631</c:f>
              <c:numCache>
                <c:formatCode>_("$"* #,##0_);_("$"* \(#,##0\);_("$"* "-"_);_(@_)</c:formatCode>
                <c:ptCount val="103"/>
                <c:pt idx="0">
                  <c:v>151036</c:v>
                </c:pt>
                <c:pt idx="1">
                  <c:v>151087.09</c:v>
                </c:pt>
                <c:pt idx="2">
                  <c:v>151336.84</c:v>
                </c:pt>
                <c:pt idx="3">
                  <c:v>151611.29999999999</c:v>
                </c:pt>
                <c:pt idx="4">
                  <c:v>151776.70000000001</c:v>
                </c:pt>
                <c:pt idx="5">
                  <c:v>151844.44</c:v>
                </c:pt>
                <c:pt idx="6">
                  <c:v>152036.04</c:v>
                </c:pt>
                <c:pt idx="7">
                  <c:v>152464.91</c:v>
                </c:pt>
                <c:pt idx="8">
                  <c:v>154533.13</c:v>
                </c:pt>
                <c:pt idx="9">
                  <c:v>155633.59</c:v>
                </c:pt>
                <c:pt idx="10">
                  <c:v>158448.25</c:v>
                </c:pt>
                <c:pt idx="11">
                  <c:v>159113.29</c:v>
                </c:pt>
                <c:pt idx="12">
                  <c:v>159614.53</c:v>
                </c:pt>
                <c:pt idx="13">
                  <c:v>160436.21</c:v>
                </c:pt>
                <c:pt idx="14">
                  <c:v>160443.22</c:v>
                </c:pt>
                <c:pt idx="15">
                  <c:v>161526.35999999999</c:v>
                </c:pt>
                <c:pt idx="16">
                  <c:v>162013.01</c:v>
                </c:pt>
                <c:pt idx="17">
                  <c:v>163493.49</c:v>
                </c:pt>
                <c:pt idx="18">
                  <c:v>164090.28</c:v>
                </c:pt>
                <c:pt idx="19">
                  <c:v>164908.01</c:v>
                </c:pt>
                <c:pt idx="20">
                  <c:v>164937.87</c:v>
                </c:pt>
                <c:pt idx="21">
                  <c:v>167966.33</c:v>
                </c:pt>
                <c:pt idx="22">
                  <c:v>164746.72</c:v>
                </c:pt>
                <c:pt idx="23">
                  <c:v>163400.39000000001</c:v>
                </c:pt>
                <c:pt idx="24">
                  <c:v>163874.63</c:v>
                </c:pt>
                <c:pt idx="25">
                  <c:v>165109.67000000001</c:v>
                </c:pt>
                <c:pt idx="26">
                  <c:v>164894.5</c:v>
                </c:pt>
                <c:pt idx="27">
                  <c:v>168308.43</c:v>
                </c:pt>
                <c:pt idx="28">
                  <c:v>169314.31</c:v>
                </c:pt>
                <c:pt idx="29">
                  <c:v>170138.99</c:v>
                </c:pt>
                <c:pt idx="30">
                  <c:v>164332.01</c:v>
                </c:pt>
                <c:pt idx="31">
                  <c:v>166031.76999999999</c:v>
                </c:pt>
                <c:pt idx="32">
                  <c:v>159621.23000000001</c:v>
                </c:pt>
                <c:pt idx="33">
                  <c:v>166873.93</c:v>
                </c:pt>
                <c:pt idx="34">
                  <c:v>170486.28</c:v>
                </c:pt>
                <c:pt idx="35">
                  <c:v>171537.16</c:v>
                </c:pt>
                <c:pt idx="36">
                  <c:v>174601.21</c:v>
                </c:pt>
                <c:pt idx="37">
                  <c:v>169831.32</c:v>
                </c:pt>
                <c:pt idx="38">
                  <c:v>175962.43</c:v>
                </c:pt>
                <c:pt idx="39">
                  <c:v>176392.07</c:v>
                </c:pt>
                <c:pt idx="40">
                  <c:v>174581</c:v>
                </c:pt>
                <c:pt idx="41">
                  <c:v>175832.82</c:v>
                </c:pt>
                <c:pt idx="42">
                  <c:v>176684.91</c:v>
                </c:pt>
                <c:pt idx="43">
                  <c:v>180686.55</c:v>
                </c:pt>
                <c:pt idx="44">
                  <c:v>184417.26</c:v>
                </c:pt>
                <c:pt idx="45">
                  <c:v>186588.03</c:v>
                </c:pt>
                <c:pt idx="46">
                  <c:v>177685.24</c:v>
                </c:pt>
                <c:pt idx="47">
                  <c:v>162398.81</c:v>
                </c:pt>
                <c:pt idx="48">
                  <c:v>175055.83</c:v>
                </c:pt>
                <c:pt idx="49">
                  <c:v>180640.71</c:v>
                </c:pt>
                <c:pt idx="50">
                  <c:v>183627.14</c:v>
                </c:pt>
                <c:pt idx="51">
                  <c:v>191310.14</c:v>
                </c:pt>
                <c:pt idx="52">
                  <c:v>196731.42</c:v>
                </c:pt>
                <c:pt idx="53">
                  <c:v>192424.98</c:v>
                </c:pt>
                <c:pt idx="54">
                  <c:v>189044.54</c:v>
                </c:pt>
                <c:pt idx="55">
                  <c:v>201253.81</c:v>
                </c:pt>
                <c:pt idx="56">
                  <c:v>206549.06</c:v>
                </c:pt>
                <c:pt idx="57">
                  <c:v>204163.62</c:v>
                </c:pt>
                <c:pt idx="58">
                  <c:v>207045.8</c:v>
                </c:pt>
                <c:pt idx="59">
                  <c:v>211866.05</c:v>
                </c:pt>
                <c:pt idx="60">
                  <c:v>218448.38</c:v>
                </c:pt>
                <c:pt idx="61">
                  <c:v>222185</c:v>
                </c:pt>
                <c:pt idx="62">
                  <c:v>222449.07</c:v>
                </c:pt>
                <c:pt idx="63">
                  <c:v>325177.46999999997</c:v>
                </c:pt>
                <c:pt idx="64">
                  <c:v>329419.45</c:v>
                </c:pt>
                <c:pt idx="65">
                  <c:v>318755.06</c:v>
                </c:pt>
                <c:pt idx="66">
                  <c:v>329502.62</c:v>
                </c:pt>
                <c:pt idx="67">
                  <c:v>323833.99</c:v>
                </c:pt>
                <c:pt idx="68">
                  <c:v>334446.53999999998</c:v>
                </c:pt>
                <c:pt idx="69">
                  <c:v>323933.77</c:v>
                </c:pt>
                <c:pt idx="70">
                  <c:v>319586.55</c:v>
                </c:pt>
                <c:pt idx="71">
                  <c:v>422621.04</c:v>
                </c:pt>
                <c:pt idx="72">
                  <c:v>399826.35</c:v>
                </c:pt>
                <c:pt idx="73">
                  <c:v>404182.26</c:v>
                </c:pt>
                <c:pt idx="74">
                  <c:v>378955.05</c:v>
                </c:pt>
                <c:pt idx="75">
                  <c:v>395341.91</c:v>
                </c:pt>
                <c:pt idx="76">
                  <c:v>382796.02</c:v>
                </c:pt>
                <c:pt idx="77">
                  <c:v>357259.36</c:v>
                </c:pt>
                <c:pt idx="78">
                  <c:v>374993.63</c:v>
                </c:pt>
                <c:pt idx="79">
                  <c:v>396685.21</c:v>
                </c:pt>
                <c:pt idx="80">
                  <c:v>385734.14</c:v>
                </c:pt>
                <c:pt idx="81">
                  <c:v>402326.67</c:v>
                </c:pt>
                <c:pt idx="82">
                  <c:v>390206.58</c:v>
                </c:pt>
                <c:pt idx="83">
                  <c:v>396440.66</c:v>
                </c:pt>
                <c:pt idx="84">
                  <c:v>401182.89</c:v>
                </c:pt>
                <c:pt idx="85">
                  <c:v>393246.23</c:v>
                </c:pt>
                <c:pt idx="86">
                  <c:v>408061</c:v>
                </c:pt>
                <c:pt idx="87">
                  <c:v>417521.72</c:v>
                </c:pt>
                <c:pt idx="88">
                  <c:v>410999.58</c:v>
                </c:pt>
                <c:pt idx="89">
                  <c:v>396973.48</c:v>
                </c:pt>
                <c:pt idx="90">
                  <c:v>389315.86</c:v>
                </c:pt>
                <c:pt idx="91">
                  <c:v>415432.2</c:v>
                </c:pt>
                <c:pt idx="92">
                  <c:v>434275.6</c:v>
                </c:pt>
                <c:pt idx="93">
                  <c:v>437155.38</c:v>
                </c:pt>
                <c:pt idx="94">
                  <c:v>449092.16</c:v>
                </c:pt>
                <c:pt idx="95">
                  <c:v>465124.12</c:v>
                </c:pt>
                <c:pt idx="96">
                  <c:v>451645.99</c:v>
                </c:pt>
                <c:pt idx="97">
                  <c:v>467250.63</c:v>
                </c:pt>
                <c:pt idx="98">
                  <c:v>470492.77</c:v>
                </c:pt>
                <c:pt idx="99">
                  <c:v>484002.05</c:v>
                </c:pt>
                <c:pt idx="100">
                  <c:v>493219.34</c:v>
                </c:pt>
                <c:pt idx="101">
                  <c:v>497198.08000000002</c:v>
                </c:pt>
                <c:pt idx="102">
                  <c:v>490263.8</c:v>
                </c:pt>
              </c:numCache>
            </c:numRef>
          </c:yVal>
          <c:smooth val="0"/>
          <c:extLst>
            <c:ext xmlns:c16="http://schemas.microsoft.com/office/drawing/2014/chart" uri="{C3380CC4-5D6E-409C-BE32-E72D297353CC}">
              <c16:uniqueId val="{00000000-312A-42D5-B65F-B9BEC3C77321}"/>
            </c:ext>
          </c:extLst>
        </c:ser>
        <c:dLbls>
          <c:showLegendKey val="0"/>
          <c:showVal val="0"/>
          <c:showCatName val="0"/>
          <c:showSerName val="0"/>
          <c:showPercent val="0"/>
          <c:showBubbleSize val="0"/>
        </c:dLbls>
        <c:axId val="416918344"/>
        <c:axId val="414609576"/>
      </c:scatterChart>
      <c:valAx>
        <c:axId val="416918344"/>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609576"/>
        <c:crosses val="autoZero"/>
        <c:crossBetween val="midCat"/>
      </c:valAx>
      <c:valAx>
        <c:axId val="4146095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183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Columbia County Community Healthcare Consortium</a:t>
            </a:r>
          </a:p>
          <a:p>
            <a:pPr>
              <a:defRPr/>
            </a:pPr>
            <a:r>
              <a:rPr lang="en-US"/>
              <a:t>Accounts Receivable Aging</a:t>
            </a:r>
          </a:p>
        </c:rich>
      </c:tx>
      <c:layout>
        <c:manualLayout>
          <c:xMode val="edge"/>
          <c:yMode val="edge"/>
          <c:x val="0.15915876524715153"/>
          <c:y val="2.6147135530129081E-2"/>
        </c:manualLayout>
      </c:layout>
      <c:overlay val="0"/>
    </c:title>
    <c:autoTitleDeleted val="0"/>
    <c:plotArea>
      <c:layout>
        <c:manualLayout>
          <c:layoutTarget val="inner"/>
          <c:xMode val="edge"/>
          <c:yMode val="edge"/>
          <c:x val="8.4280366593520228E-2"/>
          <c:y val="0.14469248514323002"/>
          <c:w val="0.65027407695711248"/>
          <c:h val="0.70000490438768714"/>
        </c:manualLayout>
      </c:layout>
      <c:barChart>
        <c:barDir val="col"/>
        <c:grouping val="stacked"/>
        <c:varyColors val="0"/>
        <c:ser>
          <c:idx val="0"/>
          <c:order val="0"/>
          <c:tx>
            <c:strRef>
              <c:f>'[3]February''25 AR Aging '!$C$195</c:f>
              <c:strCache>
                <c:ptCount val="1"/>
                <c:pt idx="0">
                  <c:v>Current Month</c:v>
                </c:pt>
              </c:strCache>
            </c:strRef>
          </c:tx>
          <c:spPr>
            <a:solidFill>
              <a:srgbClr val="0070C0"/>
            </a:solidFill>
          </c:spPr>
          <c:invertIfNegative val="0"/>
          <c:val>
            <c:numRef>
              <c:f>'[3]February''25 AR Aging '!$D$202:$O$202</c:f>
              <c:numCache>
                <c:formatCode>General</c:formatCode>
                <c:ptCount val="12"/>
              </c:numCache>
            </c:numRef>
          </c:val>
          <c:extLst>
            <c:ext xmlns:c15="http://schemas.microsoft.com/office/drawing/2012/chart" uri="{02D57815-91ED-43cb-92C2-25804820EDAC}">
              <c15:filteredCategoryTitle>
                <c15:cat>
                  <c:numRef>
                    <c:extLst>
                      <c:ext uri="{02D57815-91ED-43cb-92C2-25804820EDAC}">
                        <c15:formulaRef>
                          <c15:sqref>'[3]February''25 AR Aging '!$D$201:$O$201</c15:sqref>
                        </c15:formulaRef>
                      </c:ext>
                    </c:extLst>
                    <c:numCache>
                      <c:formatCode>General</c:formatCode>
                      <c:ptCount val="12"/>
                    </c:numCache>
                  </c:numRef>
                </c15:cat>
              </c15:filteredCategoryTitle>
            </c:ext>
            <c:ext xmlns:c16="http://schemas.microsoft.com/office/drawing/2014/chart" uri="{C3380CC4-5D6E-409C-BE32-E72D297353CC}">
              <c16:uniqueId val="{00000000-8ADA-44C9-8F2E-7AFAD44AA540}"/>
            </c:ext>
          </c:extLst>
        </c:ser>
        <c:ser>
          <c:idx val="1"/>
          <c:order val="1"/>
          <c:tx>
            <c:strRef>
              <c:f>'[3]February''25 AR Aging '!$C$196</c:f>
              <c:strCache>
                <c:ptCount val="1"/>
                <c:pt idx="0">
                  <c:v>Previous Month</c:v>
                </c:pt>
              </c:strCache>
            </c:strRef>
          </c:tx>
          <c:spPr>
            <a:solidFill>
              <a:schemeClr val="accent6">
                <a:lumMod val="40000"/>
                <a:lumOff val="60000"/>
              </a:schemeClr>
            </a:solidFill>
          </c:spPr>
          <c:invertIfNegative val="0"/>
          <c:val>
            <c:numRef>
              <c:f>'[3]February''25 AR Aging '!$D$203:$O$203</c:f>
              <c:numCache>
                <c:formatCode>General</c:formatCode>
                <c:ptCount val="12"/>
              </c:numCache>
            </c:numRef>
          </c:val>
          <c:extLst>
            <c:ext xmlns:c15="http://schemas.microsoft.com/office/drawing/2012/chart" uri="{02D57815-91ED-43cb-92C2-25804820EDAC}">
              <c15:filteredCategoryTitle>
                <c15:cat>
                  <c:numRef>
                    <c:extLst>
                      <c:ext uri="{02D57815-91ED-43cb-92C2-25804820EDAC}">
                        <c15:formulaRef>
                          <c15:sqref>'[3]February''25 AR Aging '!$D$201:$O$201</c15:sqref>
                        </c15:formulaRef>
                      </c:ext>
                    </c:extLst>
                    <c:numCache>
                      <c:formatCode>General</c:formatCode>
                      <c:ptCount val="12"/>
                    </c:numCache>
                  </c:numRef>
                </c15:cat>
              </c15:filteredCategoryTitle>
            </c:ext>
            <c:ext xmlns:c16="http://schemas.microsoft.com/office/drawing/2014/chart" uri="{C3380CC4-5D6E-409C-BE32-E72D297353CC}">
              <c16:uniqueId val="{00000001-8ADA-44C9-8F2E-7AFAD44AA540}"/>
            </c:ext>
          </c:extLst>
        </c:ser>
        <c:ser>
          <c:idx val="2"/>
          <c:order val="2"/>
          <c:tx>
            <c:strRef>
              <c:f>'[3]February''25 AR Aging '!$C$197</c:f>
              <c:strCache>
                <c:ptCount val="1"/>
                <c:pt idx="0">
                  <c:v>Three Months Ago</c:v>
                </c:pt>
              </c:strCache>
            </c:strRef>
          </c:tx>
          <c:spPr>
            <a:solidFill>
              <a:schemeClr val="accent3">
                <a:lumMod val="75000"/>
              </a:schemeClr>
            </a:solidFill>
          </c:spPr>
          <c:invertIfNegative val="0"/>
          <c:val>
            <c:numRef>
              <c:f>'[3]February''25 AR Aging '!$D$204:$O$204</c:f>
              <c:numCache>
                <c:formatCode>General</c:formatCode>
                <c:ptCount val="12"/>
              </c:numCache>
            </c:numRef>
          </c:val>
          <c:extLst>
            <c:ext xmlns:c15="http://schemas.microsoft.com/office/drawing/2012/chart" uri="{02D57815-91ED-43cb-92C2-25804820EDAC}">
              <c15:filteredCategoryTitle>
                <c15:cat>
                  <c:numRef>
                    <c:extLst>
                      <c:ext uri="{02D57815-91ED-43cb-92C2-25804820EDAC}">
                        <c15:formulaRef>
                          <c15:sqref>'[3]February''25 AR Aging '!$D$201:$O$201</c15:sqref>
                        </c15:formulaRef>
                      </c:ext>
                    </c:extLst>
                    <c:numCache>
                      <c:formatCode>General</c:formatCode>
                      <c:ptCount val="12"/>
                    </c:numCache>
                  </c:numRef>
                </c15:cat>
              </c15:filteredCategoryTitle>
            </c:ext>
            <c:ext xmlns:c16="http://schemas.microsoft.com/office/drawing/2014/chart" uri="{C3380CC4-5D6E-409C-BE32-E72D297353CC}">
              <c16:uniqueId val="{00000002-8ADA-44C9-8F2E-7AFAD44AA540}"/>
            </c:ext>
          </c:extLst>
        </c:ser>
        <c:ser>
          <c:idx val="3"/>
          <c:order val="3"/>
          <c:tx>
            <c:strRef>
              <c:f>'[3]February''25 AR Aging '!$C$198</c:f>
              <c:strCache>
                <c:ptCount val="1"/>
                <c:pt idx="0">
                  <c:v>Older than Three Months</c:v>
                </c:pt>
              </c:strCache>
            </c:strRef>
          </c:tx>
          <c:spPr>
            <a:solidFill>
              <a:schemeClr val="accent4">
                <a:lumMod val="40000"/>
                <a:lumOff val="60000"/>
              </a:schemeClr>
            </a:solidFill>
          </c:spPr>
          <c:invertIfNegative val="0"/>
          <c:val>
            <c:numRef>
              <c:f>'[3]February''25 AR Aging '!$D$205:$O$205</c:f>
              <c:numCache>
                <c:formatCode>General</c:formatCode>
                <c:ptCount val="12"/>
              </c:numCache>
            </c:numRef>
          </c:val>
          <c:extLst>
            <c:ext xmlns:c15="http://schemas.microsoft.com/office/drawing/2012/chart" uri="{02D57815-91ED-43cb-92C2-25804820EDAC}">
              <c15:filteredCategoryTitle>
                <c15:cat>
                  <c:numRef>
                    <c:extLst>
                      <c:ext uri="{02D57815-91ED-43cb-92C2-25804820EDAC}">
                        <c15:formulaRef>
                          <c15:sqref>'[3]February''25 AR Aging '!$D$201:$O$201</c15:sqref>
                        </c15:formulaRef>
                      </c:ext>
                    </c:extLst>
                    <c:numCache>
                      <c:formatCode>General</c:formatCode>
                      <c:ptCount val="12"/>
                    </c:numCache>
                  </c:numRef>
                </c15:cat>
              </c15:filteredCategoryTitle>
            </c:ext>
            <c:ext xmlns:c16="http://schemas.microsoft.com/office/drawing/2014/chart" uri="{C3380CC4-5D6E-409C-BE32-E72D297353CC}">
              <c16:uniqueId val="{00000003-8ADA-44C9-8F2E-7AFAD44AA540}"/>
            </c:ext>
          </c:extLst>
        </c:ser>
        <c:dLbls>
          <c:showLegendKey val="0"/>
          <c:showVal val="0"/>
          <c:showCatName val="0"/>
          <c:showSerName val="0"/>
          <c:showPercent val="0"/>
          <c:showBubbleSize val="0"/>
        </c:dLbls>
        <c:gapWidth val="56"/>
        <c:overlap val="100"/>
        <c:axId val="414608400"/>
        <c:axId val="414609184"/>
      </c:barChart>
      <c:catAx>
        <c:axId val="414608400"/>
        <c:scaling>
          <c:orientation val="minMax"/>
        </c:scaling>
        <c:delete val="0"/>
        <c:axPos val="b"/>
        <c:numFmt formatCode="General" sourceLinked="1"/>
        <c:majorTickMark val="none"/>
        <c:minorTickMark val="none"/>
        <c:tickLblPos val="nextTo"/>
        <c:spPr>
          <a:noFill/>
          <a:ln w="22225"/>
        </c:spPr>
        <c:crossAx val="414609184"/>
        <c:crosses val="autoZero"/>
        <c:auto val="0"/>
        <c:lblAlgn val="ctr"/>
        <c:lblOffset val="100"/>
        <c:tickLblSkip val="1"/>
        <c:noMultiLvlLbl val="0"/>
      </c:catAx>
      <c:valAx>
        <c:axId val="414609184"/>
        <c:scaling>
          <c:orientation val="minMax"/>
        </c:scaling>
        <c:delete val="0"/>
        <c:axPos val="l"/>
        <c:majorGridlines/>
        <c:numFmt formatCode="General" sourceLinked="1"/>
        <c:majorTickMark val="none"/>
        <c:minorTickMark val="none"/>
        <c:tickLblPos val="nextTo"/>
        <c:crossAx val="414608400"/>
        <c:crosses val="autoZero"/>
        <c:crossBetween val="between"/>
      </c:valAx>
    </c:plotArea>
    <c:legend>
      <c:legendPos val="r"/>
      <c:overlay val="0"/>
    </c:legend>
    <c:plotVisOnly val="1"/>
    <c:dispBlanksAs val="gap"/>
    <c:showDLblsOverMax val="0"/>
  </c:chart>
  <c:printSettings>
    <c:headerFooter/>
    <c:pageMargins b="0.75000000000000167" l="0.95000000000000062" r="0.95000000000000062" t="0.75000000000000167"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Columbia County Community Healthcare Consortium</a:t>
            </a:r>
          </a:p>
          <a:p>
            <a:pPr>
              <a:defRPr/>
            </a:pPr>
            <a:r>
              <a:rPr lang="en-US"/>
              <a:t>Accounts Receivable Aging</a:t>
            </a:r>
          </a:p>
        </c:rich>
      </c:tx>
      <c:layout>
        <c:manualLayout>
          <c:xMode val="edge"/>
          <c:yMode val="edge"/>
          <c:x val="0.15915876524715153"/>
          <c:y val="2.6147135530129081E-2"/>
        </c:manualLayout>
      </c:layout>
      <c:overlay val="0"/>
    </c:title>
    <c:autoTitleDeleted val="0"/>
    <c:plotArea>
      <c:layout>
        <c:manualLayout>
          <c:layoutTarget val="inner"/>
          <c:xMode val="edge"/>
          <c:yMode val="edge"/>
          <c:x val="8.4280366593520228E-2"/>
          <c:y val="0.14469248514323002"/>
          <c:w val="0.65027407695711248"/>
          <c:h val="0.70000490438768714"/>
        </c:manualLayout>
      </c:layout>
      <c:barChart>
        <c:barDir val="col"/>
        <c:grouping val="stacked"/>
        <c:varyColors val="0"/>
        <c:ser>
          <c:idx val="0"/>
          <c:order val="0"/>
          <c:tx>
            <c:strRef>
              <c:f>'December''24 AR Aging '!$C$231</c:f>
              <c:strCache>
                <c:ptCount val="1"/>
                <c:pt idx="0">
                  <c:v>Current Month</c:v>
                </c:pt>
              </c:strCache>
            </c:strRef>
          </c:tx>
          <c:spPr>
            <a:solidFill>
              <a:srgbClr val="0070C0"/>
            </a:solidFill>
          </c:spPr>
          <c:invertIfNegative val="0"/>
          <c:val>
            <c:numRef>
              <c:f>'December''24 AR Aging '!$D$238:$O$238</c:f>
              <c:numCache>
                <c:formatCode>General</c:formatCode>
                <c:ptCount val="11"/>
              </c:numCache>
            </c:numRef>
          </c:val>
          <c:extLst>
            <c:ext xmlns:c15="http://schemas.microsoft.com/office/drawing/2012/chart" uri="{02D57815-91ED-43cb-92C2-25804820EDAC}">
              <c15:filteredCategoryTitle>
                <c15:cat>
                  <c:numRef>
                    <c:extLst>
                      <c:ext uri="{02D57815-91ED-43cb-92C2-25804820EDAC}">
                        <c15:formulaRef>
                          <c15:sqref>'December''24 AR Aging '!$D$237:$O$237</c15:sqref>
                        </c15:formulaRef>
                      </c:ext>
                    </c:extLst>
                    <c:numCache>
                      <c:formatCode>General</c:formatCode>
                      <c:ptCount val="11"/>
                    </c:numCache>
                  </c:numRef>
                </c15:cat>
              </c15:filteredCategoryTitle>
            </c:ext>
            <c:ext xmlns:c16="http://schemas.microsoft.com/office/drawing/2014/chart" uri="{C3380CC4-5D6E-409C-BE32-E72D297353CC}">
              <c16:uniqueId val="{00000000-0123-4EB4-86F4-5B3293A5D00E}"/>
            </c:ext>
          </c:extLst>
        </c:ser>
        <c:ser>
          <c:idx val="1"/>
          <c:order val="1"/>
          <c:tx>
            <c:strRef>
              <c:f>'December''24 AR Aging '!$C$232</c:f>
              <c:strCache>
                <c:ptCount val="1"/>
                <c:pt idx="0">
                  <c:v>Previous Month</c:v>
                </c:pt>
              </c:strCache>
            </c:strRef>
          </c:tx>
          <c:spPr>
            <a:solidFill>
              <a:schemeClr val="accent6">
                <a:lumMod val="40000"/>
                <a:lumOff val="60000"/>
              </a:schemeClr>
            </a:solidFill>
          </c:spPr>
          <c:invertIfNegative val="0"/>
          <c:val>
            <c:numRef>
              <c:f>'December''24 AR Aging '!$D$239:$O$239</c:f>
              <c:numCache>
                <c:formatCode>General</c:formatCode>
                <c:ptCount val="11"/>
              </c:numCache>
            </c:numRef>
          </c:val>
          <c:extLst>
            <c:ext xmlns:c15="http://schemas.microsoft.com/office/drawing/2012/chart" uri="{02D57815-91ED-43cb-92C2-25804820EDAC}">
              <c15:filteredCategoryTitle>
                <c15:cat>
                  <c:numRef>
                    <c:extLst>
                      <c:ext uri="{02D57815-91ED-43cb-92C2-25804820EDAC}">
                        <c15:formulaRef>
                          <c15:sqref>'December''24 AR Aging '!$D$237:$O$237</c15:sqref>
                        </c15:formulaRef>
                      </c:ext>
                    </c:extLst>
                    <c:numCache>
                      <c:formatCode>General</c:formatCode>
                      <c:ptCount val="11"/>
                    </c:numCache>
                  </c:numRef>
                </c15:cat>
              </c15:filteredCategoryTitle>
            </c:ext>
            <c:ext xmlns:c16="http://schemas.microsoft.com/office/drawing/2014/chart" uri="{C3380CC4-5D6E-409C-BE32-E72D297353CC}">
              <c16:uniqueId val="{00000001-0123-4EB4-86F4-5B3293A5D00E}"/>
            </c:ext>
          </c:extLst>
        </c:ser>
        <c:ser>
          <c:idx val="2"/>
          <c:order val="2"/>
          <c:tx>
            <c:strRef>
              <c:f>'December''24 AR Aging '!$C$233</c:f>
              <c:strCache>
                <c:ptCount val="1"/>
                <c:pt idx="0">
                  <c:v>Three Months Ago</c:v>
                </c:pt>
              </c:strCache>
            </c:strRef>
          </c:tx>
          <c:spPr>
            <a:solidFill>
              <a:schemeClr val="accent3">
                <a:lumMod val="75000"/>
              </a:schemeClr>
            </a:solidFill>
          </c:spPr>
          <c:invertIfNegative val="0"/>
          <c:val>
            <c:numRef>
              <c:f>'December''24 AR Aging '!$D$240:$O$240</c:f>
              <c:numCache>
                <c:formatCode>General</c:formatCode>
                <c:ptCount val="11"/>
              </c:numCache>
            </c:numRef>
          </c:val>
          <c:extLst>
            <c:ext xmlns:c15="http://schemas.microsoft.com/office/drawing/2012/chart" uri="{02D57815-91ED-43cb-92C2-25804820EDAC}">
              <c15:filteredCategoryTitle>
                <c15:cat>
                  <c:numRef>
                    <c:extLst>
                      <c:ext uri="{02D57815-91ED-43cb-92C2-25804820EDAC}">
                        <c15:formulaRef>
                          <c15:sqref>'December''24 AR Aging '!$D$237:$O$237</c15:sqref>
                        </c15:formulaRef>
                      </c:ext>
                    </c:extLst>
                    <c:numCache>
                      <c:formatCode>General</c:formatCode>
                      <c:ptCount val="11"/>
                    </c:numCache>
                  </c:numRef>
                </c15:cat>
              </c15:filteredCategoryTitle>
            </c:ext>
            <c:ext xmlns:c16="http://schemas.microsoft.com/office/drawing/2014/chart" uri="{C3380CC4-5D6E-409C-BE32-E72D297353CC}">
              <c16:uniqueId val="{00000002-0123-4EB4-86F4-5B3293A5D00E}"/>
            </c:ext>
          </c:extLst>
        </c:ser>
        <c:ser>
          <c:idx val="3"/>
          <c:order val="3"/>
          <c:tx>
            <c:strRef>
              <c:f>'December''24 AR Aging '!$C$234</c:f>
              <c:strCache>
                <c:ptCount val="1"/>
                <c:pt idx="0">
                  <c:v>Older than Three Months</c:v>
                </c:pt>
              </c:strCache>
            </c:strRef>
          </c:tx>
          <c:spPr>
            <a:solidFill>
              <a:schemeClr val="accent4">
                <a:lumMod val="40000"/>
                <a:lumOff val="60000"/>
              </a:schemeClr>
            </a:solidFill>
          </c:spPr>
          <c:invertIfNegative val="0"/>
          <c:val>
            <c:numRef>
              <c:f>'December''24 AR Aging '!$D$241:$O$241</c:f>
              <c:numCache>
                <c:formatCode>General</c:formatCode>
                <c:ptCount val="11"/>
              </c:numCache>
            </c:numRef>
          </c:val>
          <c:extLst>
            <c:ext xmlns:c15="http://schemas.microsoft.com/office/drawing/2012/chart" uri="{02D57815-91ED-43cb-92C2-25804820EDAC}">
              <c15:filteredCategoryTitle>
                <c15:cat>
                  <c:numRef>
                    <c:extLst>
                      <c:ext uri="{02D57815-91ED-43cb-92C2-25804820EDAC}">
                        <c15:formulaRef>
                          <c15:sqref>'December''24 AR Aging '!$D$237:$O$237</c15:sqref>
                        </c15:formulaRef>
                      </c:ext>
                    </c:extLst>
                    <c:numCache>
                      <c:formatCode>General</c:formatCode>
                      <c:ptCount val="11"/>
                    </c:numCache>
                  </c:numRef>
                </c15:cat>
              </c15:filteredCategoryTitle>
            </c:ext>
            <c:ext xmlns:c16="http://schemas.microsoft.com/office/drawing/2014/chart" uri="{C3380CC4-5D6E-409C-BE32-E72D297353CC}">
              <c16:uniqueId val="{00000003-0123-4EB4-86F4-5B3293A5D00E}"/>
            </c:ext>
          </c:extLst>
        </c:ser>
        <c:dLbls>
          <c:showLegendKey val="0"/>
          <c:showVal val="0"/>
          <c:showCatName val="0"/>
          <c:showSerName val="0"/>
          <c:showPercent val="0"/>
          <c:showBubbleSize val="0"/>
        </c:dLbls>
        <c:gapWidth val="56"/>
        <c:overlap val="100"/>
        <c:axId val="414608400"/>
        <c:axId val="414609184"/>
      </c:barChart>
      <c:catAx>
        <c:axId val="414608400"/>
        <c:scaling>
          <c:orientation val="minMax"/>
        </c:scaling>
        <c:delete val="0"/>
        <c:axPos val="b"/>
        <c:numFmt formatCode="General" sourceLinked="1"/>
        <c:majorTickMark val="none"/>
        <c:minorTickMark val="none"/>
        <c:tickLblPos val="nextTo"/>
        <c:spPr>
          <a:noFill/>
          <a:ln w="22225"/>
        </c:spPr>
        <c:crossAx val="414609184"/>
        <c:crosses val="autoZero"/>
        <c:auto val="0"/>
        <c:lblAlgn val="ctr"/>
        <c:lblOffset val="100"/>
        <c:tickLblSkip val="1"/>
        <c:noMultiLvlLbl val="0"/>
      </c:catAx>
      <c:valAx>
        <c:axId val="414609184"/>
        <c:scaling>
          <c:orientation val="minMax"/>
        </c:scaling>
        <c:delete val="0"/>
        <c:axPos val="l"/>
        <c:majorGridlines/>
        <c:numFmt formatCode="General" sourceLinked="1"/>
        <c:majorTickMark val="none"/>
        <c:minorTickMark val="none"/>
        <c:tickLblPos val="nextTo"/>
        <c:crossAx val="414608400"/>
        <c:crosses val="autoZero"/>
        <c:crossBetween val="between"/>
      </c:valAx>
    </c:plotArea>
    <c:legend>
      <c:legendPos val="r"/>
      <c:overlay val="0"/>
    </c:legend>
    <c:plotVisOnly val="1"/>
    <c:dispBlanksAs val="gap"/>
    <c:showDLblsOverMax val="0"/>
  </c:chart>
  <c:printSettings>
    <c:headerFooter/>
    <c:pageMargins b="0.75000000000000167" l="0.95000000000000062" r="0.95000000000000062" t="0.75000000000000167" header="0.30000000000000032" footer="0.30000000000000032"/>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2209800</xdr:colOff>
      <xdr:row>18</xdr:row>
      <xdr:rowOff>304800</xdr:rowOff>
    </xdr:from>
    <xdr:to>
      <xdr:col>9</xdr:col>
      <xdr:colOff>9525</xdr:colOff>
      <xdr:row>21</xdr:row>
      <xdr:rowOff>1095375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25</xdr:row>
      <xdr:rowOff>23812</xdr:rowOff>
    </xdr:from>
    <xdr:to>
      <xdr:col>8</xdr:col>
      <xdr:colOff>1343025</xdr:colOff>
      <xdr:row>57</xdr:row>
      <xdr:rowOff>19050</xdr:rowOff>
    </xdr:to>
    <xdr:graphicFrame macro="">
      <xdr:nvGraphicFramePr>
        <xdr:cNvPr id="2" name="Chart 1">
          <a:extLst>
            <a:ext uri="{FF2B5EF4-FFF2-40B4-BE49-F238E27FC236}">
              <a16:creationId xmlns:a16="http://schemas.microsoft.com/office/drawing/2014/main" id="{F77DD565-6EA2-1193-13F2-73330612BC3C}"/>
            </a:ext>
            <a:ext uri="{147F2762-F138-4A5C-976F-8EAC2B608ADB}">
              <a16:predDERef xmlns:a16="http://schemas.microsoft.com/office/drawing/2014/main" pre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xdr:row>
      <xdr:rowOff>9525</xdr:rowOff>
    </xdr:from>
    <xdr:to>
      <xdr:col>8</xdr:col>
      <xdr:colOff>1304926</xdr:colOff>
      <xdr:row>7</xdr:row>
      <xdr:rowOff>1381125</xdr:rowOff>
    </xdr:to>
    <xdr:graphicFrame macro="">
      <xdr:nvGraphicFramePr>
        <xdr:cNvPr id="3" name="Chart 2">
          <a:extLst>
            <a:ext uri="{FF2B5EF4-FFF2-40B4-BE49-F238E27FC236}">
              <a16:creationId xmlns:a16="http://schemas.microsoft.com/office/drawing/2014/main" id="{496747E3-DD2F-41EE-88C8-53EBF450148E}"/>
            </a:ext>
            <a:ext uri="{147F2762-F138-4A5C-976F-8EAC2B608ADB}">
              <a16:predDERef xmlns:a16="http://schemas.microsoft.com/office/drawing/2014/main" pred="{F77DD565-6EA2-1193-13F2-73330612B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333375</xdr:colOff>
      <xdr:row>535</xdr:row>
      <xdr:rowOff>166687</xdr:rowOff>
    </xdr:from>
    <xdr:to>
      <xdr:col>20</xdr:col>
      <xdr:colOff>104775</xdr:colOff>
      <xdr:row>551</xdr:row>
      <xdr:rowOff>14287</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3695700</xdr:colOff>
      <xdr:row>187</xdr:row>
      <xdr:rowOff>47625</xdr:rowOff>
    </xdr:from>
    <xdr:to>
      <xdr:col>9</xdr:col>
      <xdr:colOff>523875</xdr:colOff>
      <xdr:row>224</xdr:row>
      <xdr:rowOff>19049</xdr:rowOff>
    </xdr:to>
    <xdr:graphicFrame macro="">
      <xdr:nvGraphicFramePr>
        <xdr:cNvPr id="2" name="Chart 1">
          <a:extLst>
            <a:ext uri="{FF2B5EF4-FFF2-40B4-BE49-F238E27FC236}">
              <a16:creationId xmlns:a16="http://schemas.microsoft.com/office/drawing/2014/main" id="{53D5CF8D-EEA6-4985-A2F0-B7B0B040A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3695700</xdr:colOff>
      <xdr:row>224</xdr:row>
      <xdr:rowOff>47625</xdr:rowOff>
    </xdr:from>
    <xdr:to>
      <xdr:col>9</xdr:col>
      <xdr:colOff>523875</xdr:colOff>
      <xdr:row>261</xdr:row>
      <xdr:rowOff>19049</xdr:rowOff>
    </xdr:to>
    <xdr:graphicFrame macro="">
      <xdr:nvGraphicFramePr>
        <xdr:cNvPr id="6" name="Chart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John%20Ray/2021-05-25%20Updated%20Operating%20%20Budget%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Maureen/Transportation%20Programs/2022%20Transportation/Breakeven%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X:\Finance\Maureen\Finance%20Committee\CCCHC%20Financial%20Report%2002%2028%202025.xlsx" TargetMode="External"/><Relationship Id="rId1" Type="http://schemas.openxmlformats.org/officeDocument/2006/relationships/externalLinkPath" Target="CCCHC%20Financial%20Report%2002%2028%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CHC%20Financial%20Report%2012%2031%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Budget"/>
      <sheetName val="CARTS Summary"/>
      <sheetName val="6 Mth Budget"/>
      <sheetName val="RHN"/>
      <sheetName val="Tobacco"/>
      <sheetName val="Navigator"/>
      <sheetName val="NY Connects"/>
      <sheetName val="HEALing"/>
      <sheetName val="Transportaton"/>
      <sheetName val="Dyson"/>
      <sheetName val="County"/>
      <sheetName val="Greene County"/>
      <sheetName val="ICAN"/>
      <sheetName val="Admin"/>
    </sheetNames>
    <sheetDataSet>
      <sheetData sheetId="0"/>
      <sheetData sheetId="1"/>
      <sheetData sheetId="2"/>
      <sheetData sheetId="3"/>
      <sheetData sheetId="4"/>
      <sheetData sheetId="5"/>
      <sheetData sheetId="6"/>
      <sheetData sheetId="7"/>
      <sheetData sheetId="8">
        <row r="46">
          <cell r="N46">
            <v>0</v>
          </cell>
          <cell r="O46">
            <v>0</v>
          </cell>
          <cell r="P46">
            <v>0</v>
          </cell>
          <cell r="Q46">
            <v>0</v>
          </cell>
          <cell r="R46">
            <v>0</v>
          </cell>
          <cell r="S46">
            <v>0</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  Operating Budget"/>
      <sheetName val="Notes"/>
      <sheetName val="Data"/>
      <sheetName val="Updated Operating Budget"/>
      <sheetName val="August'22 Revenues &amp; Expenses"/>
      <sheetName val="August'22 AR Aging "/>
      <sheetName val="August'22 Financial Position"/>
      <sheetName val="August'22 State of Activities"/>
      <sheetName val="Breakeven"/>
      <sheetName val="Historic"/>
      <sheetName val="Sheet1"/>
      <sheetName val="June'20 Transportation"/>
      <sheetName val="Transportation Projections"/>
      <sheetName val="2019 Budget"/>
      <sheetName val="2017 Medicaid Revenue"/>
      <sheetName val="Budget"/>
      <sheetName val="YE Historic Data"/>
    </sheetNames>
    <sheetDataSet>
      <sheetData sheetId="0"/>
      <sheetData sheetId="1"/>
      <sheetData sheetId="2"/>
      <sheetData sheetId="3"/>
      <sheetData sheetId="4"/>
      <sheetData sheetId="5"/>
      <sheetData sheetId="6"/>
      <sheetData sheetId="7">
        <row r="3">
          <cell r="A3" t="str">
            <v>Eight Months Ended August 31, 2022 and 2021</v>
          </cell>
        </row>
      </sheetData>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d  Operating Budget"/>
      <sheetName val="2023 Operating Budget"/>
      <sheetName val="Transportation Historic"/>
      <sheetName val="2024 Operating Budget"/>
      <sheetName val="Notes"/>
      <sheetName val="Data"/>
      <sheetName val="Updated Operating Budget"/>
      <sheetName val="December'24 Revenues &amp; Expenses"/>
      <sheetName val="February'25 AR Aging "/>
      <sheetName val="February'25 Financial Position"/>
      <sheetName val="December'24 State of Activities"/>
      <sheetName val="FundRaising"/>
      <sheetName val="December'24 Transportation"/>
      <sheetName val="2023 Updated Budget Transportat"/>
      <sheetName val="Historic Transportation 5 Years"/>
      <sheetName val="June'20 Transportation"/>
      <sheetName val="Transportation Projections"/>
      <sheetName val="2019 Budget"/>
      <sheetName val="2017 Medicaid Revenue"/>
      <sheetName val="Budget"/>
      <sheetName val="YE Historic Data"/>
    </sheetNames>
    <sheetDataSet>
      <sheetData sheetId="0"/>
      <sheetData sheetId="1"/>
      <sheetData sheetId="2"/>
      <sheetData sheetId="3"/>
      <sheetData sheetId="4"/>
      <sheetData sheetId="5"/>
      <sheetData sheetId="6"/>
      <sheetData sheetId="7"/>
      <sheetData sheetId="8">
        <row r="195">
          <cell r="C195" t="str">
            <v>Current Month</v>
          </cell>
        </row>
        <row r="196">
          <cell r="C196" t="str">
            <v>Previous Month</v>
          </cell>
        </row>
        <row r="197">
          <cell r="C197" t="str">
            <v>Three Months Ago</v>
          </cell>
        </row>
        <row r="198">
          <cell r="C198" t="str">
            <v>Older than Three Months</v>
          </cell>
        </row>
      </sheetData>
      <sheetData sheetId="9"/>
      <sheetData sheetId="10">
        <row r="58">
          <cell r="J58">
            <v>-9320.7060000000056</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  Operating Budget"/>
      <sheetName val="Notes"/>
      <sheetName val="Data"/>
      <sheetName val="Updated Operating Budget"/>
      <sheetName val="December'21 Revenues &amp; Expenses"/>
      <sheetName val="December'21 AR Aging "/>
      <sheetName val="December'21 Financial Position"/>
      <sheetName val="December'21 State of Activities"/>
      <sheetName val="December'21 Transportation"/>
      <sheetName val="June'20 Transportation"/>
      <sheetName val="Transportation Projections"/>
      <sheetName val="2019 Budget"/>
      <sheetName val="2017 Medicaid Revenue"/>
      <sheetName val="Budget"/>
      <sheetName val="YE Historic Data"/>
    </sheetNames>
    <sheetDataSet>
      <sheetData sheetId="0"/>
      <sheetData sheetId="1"/>
      <sheetData sheetId="2"/>
      <sheetData sheetId="3"/>
      <sheetData sheetId="4"/>
      <sheetData sheetId="5"/>
      <sheetData sheetId="6"/>
      <sheetData sheetId="7">
        <row r="26">
          <cell r="H26">
            <v>52740</v>
          </cell>
        </row>
      </sheetData>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Gregory Pettyjohn" id="{889C7253-674B-4D1C-9A41-56AEBC44688E}" userId="S::GPettyjohn@columbiahealthnet.org::b48d70c7-1178-4819-b6f3-d6e9613b74b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8" dT="2025-01-31T12:22:10.13" personId="{889C7253-674B-4D1C-9A41-56AEBC44688E}" id="{D2AAE105-F2BC-41AE-8225-C626ED6F0CC6}">
    <text>Corrected on 1/31/2028: includes Mother Cab, Dyson &amp; Transport</text>
  </threadedComment>
</ThreadedComments>
</file>

<file path=xl/threadedComments/threadedComment2.xml><?xml version="1.0" encoding="utf-8"?>
<ThreadedComments xmlns="http://schemas.microsoft.com/office/spreadsheetml/2018/threadedcomments" xmlns:x="http://schemas.openxmlformats.org/spreadsheetml/2006/main">
  <threadedComment ref="J48" dT="2025-01-31T12:22:10.13" personId="{889C7253-674B-4D1C-9A41-56AEBC44688E}" id="{0DFA57E9-9FC2-4F99-B472-5CCADDE53003}">
    <text>Corrected on 1/31/2028: includes Mother Cab, Dyson &amp; Transport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
  <sheetViews>
    <sheetView topLeftCell="A4" zoomScale="70" zoomScaleNormal="70" workbookViewId="0">
      <selection activeCell="K8" sqref="K8"/>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5.625" style="33" customWidth="1"/>
    <col min="7" max="9" width="26.875" customWidth="1"/>
    <col min="10" max="10" width="1.75" customWidth="1"/>
    <col min="11" max="11" width="26.875" customWidth="1"/>
    <col min="12" max="12" width="15.25" bestFit="1" customWidth="1"/>
    <col min="13" max="13" width="10.625" customWidth="1"/>
    <col min="15" max="15" width="10" bestFit="1" customWidth="1"/>
    <col min="17" max="17" width="11.5" bestFit="1" customWidth="1"/>
    <col min="251" max="251" width="2.875" customWidth="1"/>
    <col min="252" max="252" width="8.125" customWidth="1"/>
    <col min="253" max="253" width="8.75" customWidth="1"/>
    <col min="254" max="254" width="11" customWidth="1"/>
    <col min="255" max="255" width="2.875" customWidth="1"/>
    <col min="256" max="256" width="77.625" customWidth="1"/>
    <col min="257" max="257" width="20.875" customWidth="1"/>
    <col min="507" max="507" width="2.875" customWidth="1"/>
    <col min="508" max="508" width="8.125" customWidth="1"/>
    <col min="509" max="509" width="8.75" customWidth="1"/>
    <col min="510" max="510" width="11" customWidth="1"/>
    <col min="511" max="511" width="2.875" customWidth="1"/>
    <col min="512" max="512" width="77.625" customWidth="1"/>
    <col min="513" max="513" width="20.875" customWidth="1"/>
    <col min="763" max="763" width="2.875" customWidth="1"/>
    <col min="764" max="764" width="8.125" customWidth="1"/>
    <col min="765" max="765" width="8.75" customWidth="1"/>
    <col min="766" max="766" width="11" customWidth="1"/>
    <col min="767" max="767" width="2.875" customWidth="1"/>
    <col min="768" max="768" width="77.625" customWidth="1"/>
    <col min="769" max="769" width="20.875" customWidth="1"/>
    <col min="1019" max="1019" width="2.875" customWidth="1"/>
    <col min="1020" max="1020" width="8.125" customWidth="1"/>
    <col min="1021" max="1021" width="8.75" customWidth="1"/>
    <col min="1022" max="1022" width="11" customWidth="1"/>
    <col min="1023" max="1023" width="2.875" customWidth="1"/>
    <col min="1024" max="1024" width="77.625" customWidth="1"/>
    <col min="1025" max="1025" width="20.875" customWidth="1"/>
    <col min="1275" max="1275" width="2.875" customWidth="1"/>
    <col min="1276" max="1276" width="8.125" customWidth="1"/>
    <col min="1277" max="1277" width="8.75" customWidth="1"/>
    <col min="1278" max="1278" width="11" customWidth="1"/>
    <col min="1279" max="1279" width="2.875" customWidth="1"/>
    <col min="1280" max="1280" width="77.625" customWidth="1"/>
    <col min="1281" max="1281" width="20.875" customWidth="1"/>
    <col min="1531" max="1531" width="2.875" customWidth="1"/>
    <col min="1532" max="1532" width="8.125" customWidth="1"/>
    <col min="1533" max="1533" width="8.75" customWidth="1"/>
    <col min="1534" max="1534" width="11" customWidth="1"/>
    <col min="1535" max="1535" width="2.875" customWidth="1"/>
    <col min="1536" max="1536" width="77.625" customWidth="1"/>
    <col min="1537" max="1537" width="20.875" customWidth="1"/>
    <col min="1787" max="1787" width="2.875" customWidth="1"/>
    <col min="1788" max="1788" width="8.125" customWidth="1"/>
    <col min="1789" max="1789" width="8.75" customWidth="1"/>
    <col min="1790" max="1790" width="11" customWidth="1"/>
    <col min="1791" max="1791" width="2.875" customWidth="1"/>
    <col min="1792" max="1792" width="77.625" customWidth="1"/>
    <col min="1793" max="1793" width="20.875" customWidth="1"/>
    <col min="2043" max="2043" width="2.875" customWidth="1"/>
    <col min="2044" max="2044" width="8.125" customWidth="1"/>
    <col min="2045" max="2045" width="8.75" customWidth="1"/>
    <col min="2046" max="2046" width="11" customWidth="1"/>
    <col min="2047" max="2047" width="2.875" customWidth="1"/>
    <col min="2048" max="2048" width="77.625" customWidth="1"/>
    <col min="2049" max="2049" width="20.875" customWidth="1"/>
    <col min="2299" max="2299" width="2.875" customWidth="1"/>
    <col min="2300" max="2300" width="8.125" customWidth="1"/>
    <col min="2301" max="2301" width="8.75" customWidth="1"/>
    <col min="2302" max="2302" width="11" customWidth="1"/>
    <col min="2303" max="2303" width="2.875" customWidth="1"/>
    <col min="2304" max="2304" width="77.625" customWidth="1"/>
    <col min="2305" max="2305" width="20.875" customWidth="1"/>
    <col min="2555" max="2555" width="2.875" customWidth="1"/>
    <col min="2556" max="2556" width="8.125" customWidth="1"/>
    <col min="2557" max="2557" width="8.75" customWidth="1"/>
    <col min="2558" max="2558" width="11" customWidth="1"/>
    <col min="2559" max="2559" width="2.875" customWidth="1"/>
    <col min="2560" max="2560" width="77.625" customWidth="1"/>
    <col min="2561" max="2561" width="20.875" customWidth="1"/>
    <col min="2811" max="2811" width="2.875" customWidth="1"/>
    <col min="2812" max="2812" width="8.125" customWidth="1"/>
    <col min="2813" max="2813" width="8.75" customWidth="1"/>
    <col min="2814" max="2814" width="11" customWidth="1"/>
    <col min="2815" max="2815" width="2.875" customWidth="1"/>
    <col min="2816" max="2816" width="77.625" customWidth="1"/>
    <col min="2817" max="2817" width="20.875" customWidth="1"/>
    <col min="3067" max="3067" width="2.875" customWidth="1"/>
    <col min="3068" max="3068" width="8.125" customWidth="1"/>
    <col min="3069" max="3069" width="8.75" customWidth="1"/>
    <col min="3070" max="3070" width="11" customWidth="1"/>
    <col min="3071" max="3071" width="2.875" customWidth="1"/>
    <col min="3072" max="3072" width="77.625" customWidth="1"/>
    <col min="3073" max="3073" width="20.875" customWidth="1"/>
    <col min="3323" max="3323" width="2.875" customWidth="1"/>
    <col min="3324" max="3324" width="8.125" customWidth="1"/>
    <col min="3325" max="3325" width="8.75" customWidth="1"/>
    <col min="3326" max="3326" width="11" customWidth="1"/>
    <col min="3327" max="3327" width="2.875" customWidth="1"/>
    <col min="3328" max="3328" width="77.625" customWidth="1"/>
    <col min="3329" max="3329" width="20.875" customWidth="1"/>
    <col min="3579" max="3579" width="2.875" customWidth="1"/>
    <col min="3580" max="3580" width="8.125" customWidth="1"/>
    <col min="3581" max="3581" width="8.75" customWidth="1"/>
    <col min="3582" max="3582" width="11" customWidth="1"/>
    <col min="3583" max="3583" width="2.875" customWidth="1"/>
    <col min="3584" max="3584" width="77.625" customWidth="1"/>
    <col min="3585" max="3585" width="20.875" customWidth="1"/>
    <col min="3835" max="3835" width="2.875" customWidth="1"/>
    <col min="3836" max="3836" width="8.125" customWidth="1"/>
    <col min="3837" max="3837" width="8.75" customWidth="1"/>
    <col min="3838" max="3838" width="11" customWidth="1"/>
    <col min="3839" max="3839" width="2.875" customWidth="1"/>
    <col min="3840" max="3840" width="77.625" customWidth="1"/>
    <col min="3841" max="3841" width="20.875" customWidth="1"/>
    <col min="4091" max="4091" width="2.875" customWidth="1"/>
    <col min="4092" max="4092" width="8.125" customWidth="1"/>
    <col min="4093" max="4093" width="8.75" customWidth="1"/>
    <col min="4094" max="4094" width="11" customWidth="1"/>
    <col min="4095" max="4095" width="2.875" customWidth="1"/>
    <col min="4096" max="4096" width="77.625" customWidth="1"/>
    <col min="4097" max="4097" width="20.875" customWidth="1"/>
    <col min="4347" max="4347" width="2.875" customWidth="1"/>
    <col min="4348" max="4348" width="8.125" customWidth="1"/>
    <col min="4349" max="4349" width="8.75" customWidth="1"/>
    <col min="4350" max="4350" width="11" customWidth="1"/>
    <col min="4351" max="4351" width="2.875" customWidth="1"/>
    <col min="4352" max="4352" width="77.625" customWidth="1"/>
    <col min="4353" max="4353" width="20.875" customWidth="1"/>
    <col min="4603" max="4603" width="2.875" customWidth="1"/>
    <col min="4604" max="4604" width="8.125" customWidth="1"/>
    <col min="4605" max="4605" width="8.75" customWidth="1"/>
    <col min="4606" max="4606" width="11" customWidth="1"/>
    <col min="4607" max="4607" width="2.875" customWidth="1"/>
    <col min="4608" max="4608" width="77.625" customWidth="1"/>
    <col min="4609" max="4609" width="20.875" customWidth="1"/>
    <col min="4859" max="4859" width="2.875" customWidth="1"/>
    <col min="4860" max="4860" width="8.125" customWidth="1"/>
    <col min="4861" max="4861" width="8.75" customWidth="1"/>
    <col min="4862" max="4862" width="11" customWidth="1"/>
    <col min="4863" max="4863" width="2.875" customWidth="1"/>
    <col min="4864" max="4864" width="77.625" customWidth="1"/>
    <col min="4865" max="4865" width="20.875" customWidth="1"/>
    <col min="5115" max="5115" width="2.875" customWidth="1"/>
    <col min="5116" max="5116" width="8.125" customWidth="1"/>
    <col min="5117" max="5117" width="8.75" customWidth="1"/>
    <col min="5118" max="5118" width="11" customWidth="1"/>
    <col min="5119" max="5119" width="2.875" customWidth="1"/>
    <col min="5120" max="5120" width="77.625" customWidth="1"/>
    <col min="5121" max="5121" width="20.875" customWidth="1"/>
    <col min="5371" max="5371" width="2.875" customWidth="1"/>
    <col min="5372" max="5372" width="8.125" customWidth="1"/>
    <col min="5373" max="5373" width="8.75" customWidth="1"/>
    <col min="5374" max="5374" width="11" customWidth="1"/>
    <col min="5375" max="5375" width="2.875" customWidth="1"/>
    <col min="5376" max="5376" width="77.625" customWidth="1"/>
    <col min="5377" max="5377" width="20.875" customWidth="1"/>
    <col min="5627" max="5627" width="2.875" customWidth="1"/>
    <col min="5628" max="5628" width="8.125" customWidth="1"/>
    <col min="5629" max="5629" width="8.75" customWidth="1"/>
    <col min="5630" max="5630" width="11" customWidth="1"/>
    <col min="5631" max="5631" width="2.875" customWidth="1"/>
    <col min="5632" max="5632" width="77.625" customWidth="1"/>
    <col min="5633" max="5633" width="20.875" customWidth="1"/>
    <col min="5883" max="5883" width="2.875" customWidth="1"/>
    <col min="5884" max="5884" width="8.125" customWidth="1"/>
    <col min="5885" max="5885" width="8.75" customWidth="1"/>
    <col min="5886" max="5886" width="11" customWidth="1"/>
    <col min="5887" max="5887" width="2.875" customWidth="1"/>
    <col min="5888" max="5888" width="77.625" customWidth="1"/>
    <col min="5889" max="5889" width="20.875" customWidth="1"/>
    <col min="6139" max="6139" width="2.875" customWidth="1"/>
    <col min="6140" max="6140" width="8.125" customWidth="1"/>
    <col min="6141" max="6141" width="8.75" customWidth="1"/>
    <col min="6142" max="6142" width="11" customWidth="1"/>
    <col min="6143" max="6143" width="2.875" customWidth="1"/>
    <col min="6144" max="6144" width="77.625" customWidth="1"/>
    <col min="6145" max="6145" width="20.875" customWidth="1"/>
    <col min="6395" max="6395" width="2.875" customWidth="1"/>
    <col min="6396" max="6396" width="8.125" customWidth="1"/>
    <col min="6397" max="6397" width="8.75" customWidth="1"/>
    <col min="6398" max="6398" width="11" customWidth="1"/>
    <col min="6399" max="6399" width="2.875" customWidth="1"/>
    <col min="6400" max="6400" width="77.625" customWidth="1"/>
    <col min="6401" max="6401" width="20.875" customWidth="1"/>
    <col min="6651" max="6651" width="2.875" customWidth="1"/>
    <col min="6652" max="6652" width="8.125" customWidth="1"/>
    <col min="6653" max="6653" width="8.75" customWidth="1"/>
    <col min="6654" max="6654" width="11" customWidth="1"/>
    <col min="6655" max="6655" width="2.875" customWidth="1"/>
    <col min="6656" max="6656" width="77.625" customWidth="1"/>
    <col min="6657" max="6657" width="20.875" customWidth="1"/>
    <col min="6907" max="6907" width="2.875" customWidth="1"/>
    <col min="6908" max="6908" width="8.125" customWidth="1"/>
    <col min="6909" max="6909" width="8.75" customWidth="1"/>
    <col min="6910" max="6910" width="11" customWidth="1"/>
    <col min="6911" max="6911" width="2.875" customWidth="1"/>
    <col min="6912" max="6912" width="77.625" customWidth="1"/>
    <col min="6913" max="6913" width="20.875" customWidth="1"/>
    <col min="7163" max="7163" width="2.875" customWidth="1"/>
    <col min="7164" max="7164" width="8.125" customWidth="1"/>
    <col min="7165" max="7165" width="8.75" customWidth="1"/>
    <col min="7166" max="7166" width="11" customWidth="1"/>
    <col min="7167" max="7167" width="2.875" customWidth="1"/>
    <col min="7168" max="7168" width="77.625" customWidth="1"/>
    <col min="7169" max="7169" width="20.875" customWidth="1"/>
    <col min="7419" max="7419" width="2.875" customWidth="1"/>
    <col min="7420" max="7420" width="8.125" customWidth="1"/>
    <col min="7421" max="7421" width="8.75" customWidth="1"/>
    <col min="7422" max="7422" width="11" customWidth="1"/>
    <col min="7423" max="7423" width="2.875" customWidth="1"/>
    <col min="7424" max="7424" width="77.625" customWidth="1"/>
    <col min="7425" max="7425" width="20.875" customWidth="1"/>
    <col min="7675" max="7675" width="2.875" customWidth="1"/>
    <col min="7676" max="7676" width="8.125" customWidth="1"/>
    <col min="7677" max="7677" width="8.75" customWidth="1"/>
    <col min="7678" max="7678" width="11" customWidth="1"/>
    <col min="7679" max="7679" width="2.875" customWidth="1"/>
    <col min="7680" max="7680" width="77.625" customWidth="1"/>
    <col min="7681" max="7681" width="20.875" customWidth="1"/>
    <col min="7931" max="7931" width="2.875" customWidth="1"/>
    <col min="7932" max="7932" width="8.125" customWidth="1"/>
    <col min="7933" max="7933" width="8.75" customWidth="1"/>
    <col min="7934" max="7934" width="11" customWidth="1"/>
    <col min="7935" max="7935" width="2.875" customWidth="1"/>
    <col min="7936" max="7936" width="77.625" customWidth="1"/>
    <col min="7937" max="7937" width="20.875" customWidth="1"/>
    <col min="8187" max="8187" width="2.875" customWidth="1"/>
    <col min="8188" max="8188" width="8.125" customWidth="1"/>
    <col min="8189" max="8189" width="8.75" customWidth="1"/>
    <col min="8190" max="8190" width="11" customWidth="1"/>
    <col min="8191" max="8191" width="2.875" customWidth="1"/>
    <col min="8192" max="8192" width="77.625" customWidth="1"/>
    <col min="8193" max="8193" width="20.875" customWidth="1"/>
    <col min="8443" max="8443" width="2.875" customWidth="1"/>
    <col min="8444" max="8444" width="8.125" customWidth="1"/>
    <col min="8445" max="8445" width="8.75" customWidth="1"/>
    <col min="8446" max="8446" width="11" customWidth="1"/>
    <col min="8447" max="8447" width="2.875" customWidth="1"/>
    <col min="8448" max="8448" width="77.625" customWidth="1"/>
    <col min="8449" max="8449" width="20.875" customWidth="1"/>
    <col min="8699" max="8699" width="2.875" customWidth="1"/>
    <col min="8700" max="8700" width="8.125" customWidth="1"/>
    <col min="8701" max="8701" width="8.75" customWidth="1"/>
    <col min="8702" max="8702" width="11" customWidth="1"/>
    <col min="8703" max="8703" width="2.875" customWidth="1"/>
    <col min="8704" max="8704" width="77.625" customWidth="1"/>
    <col min="8705" max="8705" width="20.875" customWidth="1"/>
    <col min="8955" max="8955" width="2.875" customWidth="1"/>
    <col min="8956" max="8956" width="8.125" customWidth="1"/>
    <col min="8957" max="8957" width="8.75" customWidth="1"/>
    <col min="8958" max="8958" width="11" customWidth="1"/>
    <col min="8959" max="8959" width="2.875" customWidth="1"/>
    <col min="8960" max="8960" width="77.625" customWidth="1"/>
    <col min="8961" max="8961" width="20.875" customWidth="1"/>
    <col min="9211" max="9211" width="2.875" customWidth="1"/>
    <col min="9212" max="9212" width="8.125" customWidth="1"/>
    <col min="9213" max="9213" width="8.75" customWidth="1"/>
    <col min="9214" max="9214" width="11" customWidth="1"/>
    <col min="9215" max="9215" width="2.875" customWidth="1"/>
    <col min="9216" max="9216" width="77.625" customWidth="1"/>
    <col min="9217" max="9217" width="20.875" customWidth="1"/>
    <col min="9467" max="9467" width="2.875" customWidth="1"/>
    <col min="9468" max="9468" width="8.125" customWidth="1"/>
    <col min="9469" max="9469" width="8.75" customWidth="1"/>
    <col min="9470" max="9470" width="11" customWidth="1"/>
    <col min="9471" max="9471" width="2.875" customWidth="1"/>
    <col min="9472" max="9472" width="77.625" customWidth="1"/>
    <col min="9473" max="9473" width="20.875" customWidth="1"/>
    <col min="9723" max="9723" width="2.875" customWidth="1"/>
    <col min="9724" max="9724" width="8.125" customWidth="1"/>
    <col min="9725" max="9725" width="8.75" customWidth="1"/>
    <col min="9726" max="9726" width="11" customWidth="1"/>
    <col min="9727" max="9727" width="2.875" customWidth="1"/>
    <col min="9728" max="9728" width="77.625" customWidth="1"/>
    <col min="9729" max="9729" width="20.875" customWidth="1"/>
    <col min="9979" max="9979" width="2.875" customWidth="1"/>
    <col min="9980" max="9980" width="8.125" customWidth="1"/>
    <col min="9981" max="9981" width="8.75" customWidth="1"/>
    <col min="9982" max="9982" width="11" customWidth="1"/>
    <col min="9983" max="9983" width="2.875" customWidth="1"/>
    <col min="9984" max="9984" width="77.625" customWidth="1"/>
    <col min="9985" max="9985" width="20.875" customWidth="1"/>
    <col min="10235" max="10235" width="2.875" customWidth="1"/>
    <col min="10236" max="10236" width="8.125" customWidth="1"/>
    <col min="10237" max="10237" width="8.75" customWidth="1"/>
    <col min="10238" max="10238" width="11" customWidth="1"/>
    <col min="10239" max="10239" width="2.875" customWidth="1"/>
    <col min="10240" max="10240" width="77.625" customWidth="1"/>
    <col min="10241" max="10241" width="20.875" customWidth="1"/>
    <col min="10491" max="10491" width="2.875" customWidth="1"/>
    <col min="10492" max="10492" width="8.125" customWidth="1"/>
    <col min="10493" max="10493" width="8.75" customWidth="1"/>
    <col min="10494" max="10494" width="11" customWidth="1"/>
    <col min="10495" max="10495" width="2.875" customWidth="1"/>
    <col min="10496" max="10496" width="77.625" customWidth="1"/>
    <col min="10497" max="10497" width="20.875" customWidth="1"/>
    <col min="10747" max="10747" width="2.875" customWidth="1"/>
    <col min="10748" max="10748" width="8.125" customWidth="1"/>
    <col min="10749" max="10749" width="8.75" customWidth="1"/>
    <col min="10750" max="10750" width="11" customWidth="1"/>
    <col min="10751" max="10751" width="2.875" customWidth="1"/>
    <col min="10752" max="10752" width="77.625" customWidth="1"/>
    <col min="10753" max="10753" width="20.875" customWidth="1"/>
    <col min="11003" max="11003" width="2.875" customWidth="1"/>
    <col min="11004" max="11004" width="8.125" customWidth="1"/>
    <col min="11005" max="11005" width="8.75" customWidth="1"/>
    <col min="11006" max="11006" width="11" customWidth="1"/>
    <col min="11007" max="11007" width="2.875" customWidth="1"/>
    <col min="11008" max="11008" width="77.625" customWidth="1"/>
    <col min="11009" max="11009" width="20.875" customWidth="1"/>
    <col min="11259" max="11259" width="2.875" customWidth="1"/>
    <col min="11260" max="11260" width="8.125" customWidth="1"/>
    <col min="11261" max="11261" width="8.75" customWidth="1"/>
    <col min="11262" max="11262" width="11" customWidth="1"/>
    <col min="11263" max="11263" width="2.875" customWidth="1"/>
    <col min="11264" max="11264" width="77.625" customWidth="1"/>
    <col min="11265" max="11265" width="20.875" customWidth="1"/>
    <col min="11515" max="11515" width="2.875" customWidth="1"/>
    <col min="11516" max="11516" width="8.125" customWidth="1"/>
    <col min="11517" max="11517" width="8.75" customWidth="1"/>
    <col min="11518" max="11518" width="11" customWidth="1"/>
    <col min="11519" max="11519" width="2.875" customWidth="1"/>
    <col min="11520" max="11520" width="77.625" customWidth="1"/>
    <col min="11521" max="11521" width="20.875" customWidth="1"/>
    <col min="11771" max="11771" width="2.875" customWidth="1"/>
    <col min="11772" max="11772" width="8.125" customWidth="1"/>
    <col min="11773" max="11773" width="8.75" customWidth="1"/>
    <col min="11774" max="11774" width="11" customWidth="1"/>
    <col min="11775" max="11775" width="2.875" customWidth="1"/>
    <col min="11776" max="11776" width="77.625" customWidth="1"/>
    <col min="11777" max="11777" width="20.875" customWidth="1"/>
    <col min="12027" max="12027" width="2.875" customWidth="1"/>
    <col min="12028" max="12028" width="8.125" customWidth="1"/>
    <col min="12029" max="12029" width="8.75" customWidth="1"/>
    <col min="12030" max="12030" width="11" customWidth="1"/>
    <col min="12031" max="12031" width="2.875" customWidth="1"/>
    <col min="12032" max="12032" width="77.625" customWidth="1"/>
    <col min="12033" max="12033" width="20.875" customWidth="1"/>
    <col min="12283" max="12283" width="2.875" customWidth="1"/>
    <col min="12284" max="12284" width="8.125" customWidth="1"/>
    <col min="12285" max="12285" width="8.75" customWidth="1"/>
    <col min="12286" max="12286" width="11" customWidth="1"/>
    <col min="12287" max="12287" width="2.875" customWidth="1"/>
    <col min="12288" max="12288" width="77.625" customWidth="1"/>
    <col min="12289" max="12289" width="20.875" customWidth="1"/>
    <col min="12539" max="12539" width="2.875" customWidth="1"/>
    <col min="12540" max="12540" width="8.125" customWidth="1"/>
    <col min="12541" max="12541" width="8.75" customWidth="1"/>
    <col min="12542" max="12542" width="11" customWidth="1"/>
    <col min="12543" max="12543" width="2.875" customWidth="1"/>
    <col min="12544" max="12544" width="77.625" customWidth="1"/>
    <col min="12545" max="12545" width="20.875" customWidth="1"/>
    <col min="12795" max="12795" width="2.875" customWidth="1"/>
    <col min="12796" max="12796" width="8.125" customWidth="1"/>
    <col min="12797" max="12797" width="8.75" customWidth="1"/>
    <col min="12798" max="12798" width="11" customWidth="1"/>
    <col min="12799" max="12799" width="2.875" customWidth="1"/>
    <col min="12800" max="12800" width="77.625" customWidth="1"/>
    <col min="12801" max="12801" width="20.875" customWidth="1"/>
    <col min="13051" max="13051" width="2.875" customWidth="1"/>
    <col min="13052" max="13052" width="8.125" customWidth="1"/>
    <col min="13053" max="13053" width="8.75" customWidth="1"/>
    <col min="13054" max="13054" width="11" customWidth="1"/>
    <col min="13055" max="13055" width="2.875" customWidth="1"/>
    <col min="13056" max="13056" width="77.625" customWidth="1"/>
    <col min="13057" max="13057" width="20.875" customWidth="1"/>
    <col min="13307" max="13307" width="2.875" customWidth="1"/>
    <col min="13308" max="13308" width="8.125" customWidth="1"/>
    <col min="13309" max="13309" width="8.75" customWidth="1"/>
    <col min="13310" max="13310" width="11" customWidth="1"/>
    <col min="13311" max="13311" width="2.875" customWidth="1"/>
    <col min="13312" max="13312" width="77.625" customWidth="1"/>
    <col min="13313" max="13313" width="20.875" customWidth="1"/>
    <col min="13563" max="13563" width="2.875" customWidth="1"/>
    <col min="13564" max="13564" width="8.125" customWidth="1"/>
    <col min="13565" max="13565" width="8.75" customWidth="1"/>
    <col min="13566" max="13566" width="11" customWidth="1"/>
    <col min="13567" max="13567" width="2.875" customWidth="1"/>
    <col min="13568" max="13568" width="77.625" customWidth="1"/>
    <col min="13569" max="13569" width="20.875" customWidth="1"/>
    <col min="13819" max="13819" width="2.875" customWidth="1"/>
    <col min="13820" max="13820" width="8.125" customWidth="1"/>
    <col min="13821" max="13821" width="8.75" customWidth="1"/>
    <col min="13822" max="13822" width="11" customWidth="1"/>
    <col min="13823" max="13823" width="2.875" customWidth="1"/>
    <col min="13824" max="13824" width="77.625" customWidth="1"/>
    <col min="13825" max="13825" width="20.875" customWidth="1"/>
    <col min="14075" max="14075" width="2.875" customWidth="1"/>
    <col min="14076" max="14076" width="8.125" customWidth="1"/>
    <col min="14077" max="14077" width="8.75" customWidth="1"/>
    <col min="14078" max="14078" width="11" customWidth="1"/>
    <col min="14079" max="14079" width="2.875" customWidth="1"/>
    <col min="14080" max="14080" width="77.625" customWidth="1"/>
    <col min="14081" max="14081" width="20.875" customWidth="1"/>
    <col min="14331" max="14331" width="2.875" customWidth="1"/>
    <col min="14332" max="14332" width="8.125" customWidth="1"/>
    <col min="14333" max="14333" width="8.75" customWidth="1"/>
    <col min="14334" max="14334" width="11" customWidth="1"/>
    <col min="14335" max="14335" width="2.875" customWidth="1"/>
    <col min="14336" max="14336" width="77.625" customWidth="1"/>
    <col min="14337" max="14337" width="20.875" customWidth="1"/>
    <col min="14587" max="14587" width="2.875" customWidth="1"/>
    <col min="14588" max="14588" width="8.125" customWidth="1"/>
    <col min="14589" max="14589" width="8.75" customWidth="1"/>
    <col min="14590" max="14590" width="11" customWidth="1"/>
    <col min="14591" max="14591" width="2.875" customWidth="1"/>
    <col min="14592" max="14592" width="77.625" customWidth="1"/>
    <col min="14593" max="14593" width="20.875" customWidth="1"/>
    <col min="14843" max="14843" width="2.875" customWidth="1"/>
    <col min="14844" max="14844" width="8.125" customWidth="1"/>
    <col min="14845" max="14845" width="8.75" customWidth="1"/>
    <col min="14846" max="14846" width="11" customWidth="1"/>
    <col min="14847" max="14847" width="2.875" customWidth="1"/>
    <col min="14848" max="14848" width="77.625" customWidth="1"/>
    <col min="14849" max="14849" width="20.875" customWidth="1"/>
    <col min="15099" max="15099" width="2.875" customWidth="1"/>
    <col min="15100" max="15100" width="8.125" customWidth="1"/>
    <col min="15101" max="15101" width="8.75" customWidth="1"/>
    <col min="15102" max="15102" width="11" customWidth="1"/>
    <col min="15103" max="15103" width="2.875" customWidth="1"/>
    <col min="15104" max="15104" width="77.625" customWidth="1"/>
    <col min="15105" max="15105" width="20.875" customWidth="1"/>
    <col min="15355" max="15355" width="2.875" customWidth="1"/>
    <col min="15356" max="15356" width="8.125" customWidth="1"/>
    <col min="15357" max="15357" width="8.75" customWidth="1"/>
    <col min="15358" max="15358" width="11" customWidth="1"/>
    <col min="15359" max="15359" width="2.875" customWidth="1"/>
    <col min="15360" max="15360" width="77.625" customWidth="1"/>
    <col min="15361" max="15361" width="20.875" customWidth="1"/>
    <col min="15611" max="15611" width="2.875" customWidth="1"/>
    <col min="15612" max="15612" width="8.125" customWidth="1"/>
    <col min="15613" max="15613" width="8.75" customWidth="1"/>
    <col min="15614" max="15614" width="11" customWidth="1"/>
    <col min="15615" max="15615" width="2.875" customWidth="1"/>
    <col min="15616" max="15616" width="77.625" customWidth="1"/>
    <col min="15617" max="15617" width="20.875" customWidth="1"/>
    <col min="15867" max="15867" width="2.875" customWidth="1"/>
    <col min="15868" max="15868" width="8.125" customWidth="1"/>
    <col min="15869" max="15869" width="8.75" customWidth="1"/>
    <col min="15870" max="15870" width="11" customWidth="1"/>
    <col min="15871" max="15871" width="2.875" customWidth="1"/>
    <col min="15872" max="15872" width="77.625" customWidth="1"/>
    <col min="15873" max="15873" width="20.875" customWidth="1"/>
    <col min="16123" max="16123" width="2.875" customWidth="1"/>
    <col min="16124" max="16124" width="8.125" customWidth="1"/>
    <col min="16125" max="16125" width="8.75" customWidth="1"/>
    <col min="16126" max="16126" width="11" customWidth="1"/>
    <col min="16127" max="16127" width="2.875" customWidth="1"/>
    <col min="16128" max="16128" width="77.625" customWidth="1"/>
    <col min="16129" max="16129" width="20.875" customWidth="1"/>
  </cols>
  <sheetData>
    <row r="1" spans="1:13" ht="22.5" customHeight="1" x14ac:dyDescent="0.4">
      <c r="A1" s="34" t="s">
        <v>0</v>
      </c>
      <c r="B1" s="35"/>
      <c r="C1" s="36"/>
      <c r="D1" s="36"/>
      <c r="E1" s="36"/>
      <c r="F1" s="35"/>
      <c r="G1" s="35"/>
      <c r="H1" s="35"/>
      <c r="I1" s="35"/>
      <c r="J1" s="35"/>
      <c r="K1" s="35"/>
      <c r="L1" s="35"/>
      <c r="M1" s="35"/>
    </row>
    <row r="2" spans="1:13" ht="22.5" customHeight="1" x14ac:dyDescent="0.4">
      <c r="A2" s="34" t="s">
        <v>1</v>
      </c>
      <c r="B2" s="35"/>
      <c r="C2" s="36"/>
      <c r="D2" s="36"/>
      <c r="E2" s="36"/>
      <c r="F2" s="35"/>
      <c r="G2" s="35"/>
      <c r="H2" s="35"/>
      <c r="I2" s="35"/>
      <c r="J2" s="35"/>
      <c r="K2" s="35"/>
      <c r="L2" s="35"/>
      <c r="M2" s="35"/>
    </row>
    <row r="3" spans="1:13" ht="22.5" customHeight="1" x14ac:dyDescent="0.4">
      <c r="A3" s="34" t="s">
        <v>2</v>
      </c>
      <c r="B3" s="35"/>
      <c r="C3" s="36"/>
      <c r="D3" s="36"/>
      <c r="E3" s="36"/>
      <c r="F3" s="35"/>
      <c r="G3" s="35"/>
      <c r="H3" s="35"/>
      <c r="I3" s="35"/>
      <c r="J3" s="35"/>
      <c r="K3" s="35"/>
      <c r="L3" s="35"/>
      <c r="M3" s="35"/>
    </row>
    <row r="4" spans="1:13" s="38" customFormat="1" ht="8.25" customHeight="1" thickBot="1" x14ac:dyDescent="0.25">
      <c r="A4" s="37"/>
      <c r="B4" s="37"/>
      <c r="C4" s="37"/>
      <c r="D4" s="37"/>
      <c r="E4" s="37"/>
      <c r="F4" s="37"/>
    </row>
    <row r="5" spans="1:13" s="41" customFormat="1" ht="24.75" customHeight="1" thickTop="1" thickBot="1" x14ac:dyDescent="0.25">
      <c r="A5" s="39" t="s">
        <v>3</v>
      </c>
      <c r="B5" s="39"/>
      <c r="C5" s="39"/>
      <c r="D5" s="39"/>
      <c r="E5" s="39"/>
      <c r="F5" s="39"/>
      <c r="G5" s="812" t="s">
        <v>4</v>
      </c>
      <c r="H5" s="812"/>
      <c r="I5" s="812"/>
      <c r="J5" s="812"/>
      <c r="K5" s="812"/>
      <c r="L5" s="275" t="s">
        <v>5</v>
      </c>
      <c r="M5" s="272" t="s">
        <v>6</v>
      </c>
    </row>
    <row r="6" spans="1:13" s="43" customFormat="1" ht="8.25" customHeight="1" thickTop="1" x14ac:dyDescent="0.2">
      <c r="A6" s="42"/>
      <c r="B6" s="42"/>
      <c r="C6" s="42"/>
      <c r="D6" s="42"/>
      <c r="E6" s="42"/>
      <c r="F6" s="42"/>
    </row>
    <row r="7" spans="1:13" s="43" customFormat="1" ht="75.75" customHeight="1" thickBot="1" x14ac:dyDescent="0.25">
      <c r="A7" s="42"/>
      <c r="B7" s="54" t="s">
        <v>7</v>
      </c>
      <c r="C7" s="54"/>
      <c r="D7" s="54"/>
      <c r="E7" s="54"/>
      <c r="F7" s="54"/>
      <c r="G7" s="270" t="s">
        <v>8</v>
      </c>
      <c r="H7" s="505" t="s">
        <v>9</v>
      </c>
      <c r="I7" s="505" t="s">
        <v>10</v>
      </c>
      <c r="J7" s="505"/>
      <c r="K7" s="506" t="s">
        <v>11</v>
      </c>
      <c r="L7" s="813" t="s">
        <v>12</v>
      </c>
      <c r="M7" s="813"/>
    </row>
    <row r="8" spans="1:13" s="43" customFormat="1" ht="20.25" x14ac:dyDescent="0.2">
      <c r="A8" s="42"/>
      <c r="B8" s="42"/>
      <c r="C8" s="46" t="s">
        <v>13</v>
      </c>
      <c r="D8" s="46"/>
      <c r="E8" s="46"/>
      <c r="F8" s="42"/>
      <c r="G8" s="159">
        <v>200992</v>
      </c>
      <c r="H8" s="159">
        <v>507048</v>
      </c>
      <c r="I8" s="159">
        <f>G8+H8</f>
        <v>708040</v>
      </c>
      <c r="J8" s="159"/>
      <c r="K8" s="159">
        <v>700893</v>
      </c>
      <c r="L8" s="260">
        <f>I8-K8</f>
        <v>7147</v>
      </c>
      <c r="M8" s="273">
        <f>(I8-K8)/K8</f>
        <v>1.0196991552205544E-2</v>
      </c>
    </row>
    <row r="9" spans="1:13" s="43" customFormat="1" ht="20.25" x14ac:dyDescent="0.2">
      <c r="A9" s="42"/>
      <c r="B9" s="42"/>
      <c r="C9" s="46" t="s">
        <v>14</v>
      </c>
      <c r="D9" s="46"/>
      <c r="E9" s="46"/>
      <c r="F9" s="42"/>
      <c r="G9" s="150">
        <v>18908</v>
      </c>
      <c r="H9" s="150">
        <v>61000</v>
      </c>
      <c r="I9" s="150">
        <f>G9+H9</f>
        <v>79908</v>
      </c>
      <c r="J9" s="150"/>
      <c r="K9" s="150">
        <v>90000</v>
      </c>
      <c r="L9" s="334">
        <f>I9-K9</f>
        <v>-10092</v>
      </c>
      <c r="M9" s="273">
        <f t="shared" ref="M9:M28" si="0">(I9-K9)/K9</f>
        <v>-0.11213333333333333</v>
      </c>
    </row>
    <row r="10" spans="1:13" s="43" customFormat="1" ht="20.25" x14ac:dyDescent="0.2">
      <c r="A10" s="42"/>
      <c r="B10" s="42"/>
      <c r="C10" s="46" t="s">
        <v>15</v>
      </c>
      <c r="D10" s="46"/>
      <c r="E10" s="46"/>
      <c r="F10" s="42"/>
      <c r="G10" s="150">
        <v>16159</v>
      </c>
      <c r="H10" s="150">
        <v>25547</v>
      </c>
      <c r="I10" s="150">
        <f>G10+H10</f>
        <v>41706</v>
      </c>
      <c r="J10" s="150"/>
      <c r="K10" s="150">
        <v>50397</v>
      </c>
      <c r="L10" s="334">
        <f>I10-K10</f>
        <v>-8691</v>
      </c>
      <c r="M10" s="273">
        <f t="shared" si="0"/>
        <v>-0.17245074111554259</v>
      </c>
    </row>
    <row r="11" spans="1:13" s="43" customFormat="1" ht="20.25" x14ac:dyDescent="0.2">
      <c r="A11" s="42"/>
      <c r="B11" s="42"/>
      <c r="C11" s="46" t="s">
        <v>16</v>
      </c>
      <c r="D11" s="46"/>
      <c r="E11" s="46"/>
      <c r="F11" s="42"/>
      <c r="G11" s="150"/>
      <c r="H11" s="150"/>
      <c r="I11" s="150">
        <f t="shared" ref="I11:I28" si="1">G11+H11</f>
        <v>0</v>
      </c>
      <c r="J11" s="150"/>
      <c r="K11" s="150"/>
      <c r="L11" s="334"/>
      <c r="M11" s="273"/>
    </row>
    <row r="12" spans="1:13" s="43" customFormat="1" ht="20.25" x14ac:dyDescent="0.2">
      <c r="A12" s="42"/>
      <c r="B12" s="42"/>
      <c r="D12" s="46" t="s">
        <v>17</v>
      </c>
      <c r="E12" s="46"/>
      <c r="F12" s="42"/>
      <c r="G12" s="150">
        <v>78605</v>
      </c>
      <c r="H12" s="150">
        <f>239968-H10-H13-H14</f>
        <v>121781</v>
      </c>
      <c r="I12" s="150">
        <f t="shared" si="1"/>
        <v>200386</v>
      </c>
      <c r="J12" s="150"/>
      <c r="K12" s="150">
        <v>169789</v>
      </c>
      <c r="L12" s="334">
        <f t="shared" ref="L12:L28" si="2">I12-K12</f>
        <v>30597</v>
      </c>
      <c r="M12" s="273">
        <f t="shared" si="0"/>
        <v>0.18020602041357214</v>
      </c>
    </row>
    <row r="13" spans="1:13" s="43" customFormat="1" ht="20.25" x14ac:dyDescent="0.2">
      <c r="A13" s="42"/>
      <c r="B13" s="42"/>
      <c r="D13" s="46" t="s">
        <v>18</v>
      </c>
      <c r="E13" s="46"/>
      <c r="F13" s="42"/>
      <c r="G13" s="150">
        <v>6000</v>
      </c>
      <c r="H13" s="150">
        <f>1500*8</f>
        <v>12000</v>
      </c>
      <c r="I13" s="150">
        <f t="shared" si="1"/>
        <v>18000</v>
      </c>
      <c r="J13" s="150"/>
      <c r="K13" s="150">
        <v>18000</v>
      </c>
      <c r="L13" s="334">
        <f t="shared" si="2"/>
        <v>0</v>
      </c>
      <c r="M13" s="273">
        <f t="shared" si="0"/>
        <v>0</v>
      </c>
    </row>
    <row r="14" spans="1:13" s="43" customFormat="1" ht="20.25" x14ac:dyDescent="0.2">
      <c r="A14" s="42"/>
      <c r="B14" s="42"/>
      <c r="C14" s="46"/>
      <c r="D14" s="46" t="s">
        <v>19</v>
      </c>
      <c r="E14" s="46"/>
      <c r="F14" s="42"/>
      <c r="G14" s="150">
        <v>39088</v>
      </c>
      <c r="H14" s="150">
        <v>80640</v>
      </c>
      <c r="I14" s="150">
        <f t="shared" si="1"/>
        <v>119728</v>
      </c>
      <c r="J14" s="150"/>
      <c r="K14" s="150">
        <v>114072</v>
      </c>
      <c r="L14" s="334">
        <f t="shared" si="2"/>
        <v>5656</v>
      </c>
      <c r="M14" s="273">
        <f t="shared" si="0"/>
        <v>4.9582719685812467E-2</v>
      </c>
    </row>
    <row r="15" spans="1:13" s="43" customFormat="1" ht="20.25" x14ac:dyDescent="0.2">
      <c r="A15" s="42"/>
      <c r="B15" s="42"/>
      <c r="C15" s="46" t="s">
        <v>20</v>
      </c>
      <c r="D15" s="46"/>
      <c r="E15" s="46"/>
      <c r="F15" s="42"/>
      <c r="G15" s="150">
        <v>5511</v>
      </c>
      <c r="H15" s="150">
        <f>17000-G15</f>
        <v>11489</v>
      </c>
      <c r="I15" s="150">
        <f t="shared" si="1"/>
        <v>17000</v>
      </c>
      <c r="J15" s="150"/>
      <c r="K15" s="150">
        <v>17000</v>
      </c>
      <c r="L15" s="334">
        <f t="shared" si="2"/>
        <v>0</v>
      </c>
      <c r="M15" s="273">
        <f t="shared" si="0"/>
        <v>0</v>
      </c>
    </row>
    <row r="16" spans="1:13" s="43" customFormat="1" ht="20.25" x14ac:dyDescent="0.2">
      <c r="A16" s="42"/>
      <c r="B16" s="42"/>
      <c r="C16" s="46" t="s">
        <v>21</v>
      </c>
      <c r="D16" s="46"/>
      <c r="E16" s="46"/>
      <c r="F16" s="42"/>
      <c r="G16" s="150">
        <v>228</v>
      </c>
      <c r="H16" s="150">
        <v>684</v>
      </c>
      <c r="I16" s="150">
        <f t="shared" si="1"/>
        <v>912</v>
      </c>
      <c r="J16" s="150"/>
      <c r="K16" s="150">
        <v>1200</v>
      </c>
      <c r="L16" s="334">
        <f t="shared" si="2"/>
        <v>-288</v>
      </c>
      <c r="M16" s="273">
        <f t="shared" si="0"/>
        <v>-0.24</v>
      </c>
    </row>
    <row r="17" spans="2:13" s="43" customFormat="1" ht="20.25" x14ac:dyDescent="0.2">
      <c r="B17" s="42"/>
      <c r="C17" s="46" t="s">
        <v>22</v>
      </c>
      <c r="D17" s="46"/>
      <c r="E17" s="46"/>
      <c r="F17" s="42"/>
      <c r="G17" s="150">
        <v>-405</v>
      </c>
      <c r="H17" s="150">
        <f>400*8-1000</f>
        <v>2200</v>
      </c>
      <c r="I17" s="150">
        <f t="shared" si="1"/>
        <v>1795</v>
      </c>
      <c r="J17" s="150"/>
      <c r="K17" s="150">
        <v>4680</v>
      </c>
      <c r="L17" s="334">
        <f t="shared" si="2"/>
        <v>-2885</v>
      </c>
      <c r="M17" s="273">
        <f t="shared" si="0"/>
        <v>-0.61645299145299148</v>
      </c>
    </row>
    <row r="18" spans="2:13" s="43" customFormat="1" ht="20.25" x14ac:dyDescent="0.2">
      <c r="B18" s="42"/>
      <c r="C18" s="46" t="s">
        <v>23</v>
      </c>
      <c r="D18" s="46"/>
      <c r="E18" s="46"/>
      <c r="F18" s="42"/>
      <c r="G18" s="150">
        <v>12304</v>
      </c>
      <c r="H18" s="150">
        <v>1500</v>
      </c>
      <c r="I18" s="150">
        <f t="shared" si="1"/>
        <v>13804</v>
      </c>
      <c r="J18" s="150"/>
      <c r="K18" s="150">
        <v>1500</v>
      </c>
      <c r="L18" s="334">
        <f t="shared" si="2"/>
        <v>12304</v>
      </c>
      <c r="M18" s="273">
        <f t="shared" si="0"/>
        <v>8.2026666666666674</v>
      </c>
    </row>
    <row r="19" spans="2:13" s="43" customFormat="1" ht="20.25" x14ac:dyDescent="0.2">
      <c r="B19" s="42"/>
      <c r="C19" s="46" t="s">
        <v>24</v>
      </c>
      <c r="D19" s="46"/>
      <c r="E19" s="46"/>
      <c r="F19" s="42"/>
      <c r="G19" s="150"/>
      <c r="H19" s="150"/>
      <c r="I19" s="150">
        <f t="shared" si="1"/>
        <v>0</v>
      </c>
      <c r="J19" s="150"/>
      <c r="K19" s="150"/>
      <c r="L19" s="334">
        <f t="shared" si="2"/>
        <v>0</v>
      </c>
      <c r="M19" s="273"/>
    </row>
    <row r="20" spans="2:13" s="43" customFormat="1" ht="20.25" x14ac:dyDescent="0.2">
      <c r="B20" s="42"/>
      <c r="C20" s="46"/>
      <c r="D20" s="46" t="s">
        <v>25</v>
      </c>
      <c r="E20" s="46"/>
      <c r="F20" s="42"/>
      <c r="G20" s="150">
        <f>10047-3000</f>
        <v>7047</v>
      </c>
      <c r="H20" s="150">
        <f>65179-H21-12000</f>
        <v>21179</v>
      </c>
      <c r="I20" s="150">
        <f t="shared" si="1"/>
        <v>28226</v>
      </c>
      <c r="J20" s="150"/>
      <c r="K20" s="150">
        <f>79293-48000</f>
        <v>31293</v>
      </c>
      <c r="L20" s="334">
        <f t="shared" si="2"/>
        <v>-3067</v>
      </c>
      <c r="M20" s="273">
        <f t="shared" si="0"/>
        <v>-9.8009139424152361E-2</v>
      </c>
    </row>
    <row r="21" spans="2:13" s="43" customFormat="1" ht="20.25" x14ac:dyDescent="0.2">
      <c r="B21" s="42"/>
      <c r="C21" s="475"/>
      <c r="D21" s="46" t="s">
        <v>26</v>
      </c>
      <c r="E21" s="475"/>
      <c r="F21" s="475"/>
      <c r="G21" s="150">
        <f>48000/12*4</f>
        <v>16000</v>
      </c>
      <c r="H21" s="150">
        <f>48000-G21</f>
        <v>32000</v>
      </c>
      <c r="I21" s="150">
        <f t="shared" si="1"/>
        <v>48000</v>
      </c>
      <c r="J21" s="150"/>
      <c r="K21" s="150">
        <v>48000</v>
      </c>
      <c r="L21" s="334">
        <f t="shared" si="2"/>
        <v>0</v>
      </c>
      <c r="M21" s="273">
        <f t="shared" si="0"/>
        <v>0</v>
      </c>
    </row>
    <row r="22" spans="2:13" s="43" customFormat="1" ht="20.25" x14ac:dyDescent="0.2">
      <c r="B22" s="42"/>
      <c r="C22" s="475"/>
      <c r="D22" s="46" t="s">
        <v>27</v>
      </c>
      <c r="E22" s="475"/>
      <c r="F22" s="475"/>
      <c r="G22" s="150">
        <v>3000</v>
      </c>
      <c r="H22" s="150">
        <v>12000</v>
      </c>
      <c r="I22" s="150">
        <f t="shared" si="1"/>
        <v>15000</v>
      </c>
      <c r="J22" s="150"/>
      <c r="K22" s="150">
        <v>0</v>
      </c>
      <c r="L22" s="334">
        <f t="shared" si="2"/>
        <v>15000</v>
      </c>
      <c r="M22" s="273"/>
    </row>
    <row r="23" spans="2:13" s="43" customFormat="1" ht="20.25" x14ac:dyDescent="0.2">
      <c r="B23" s="42"/>
      <c r="C23" s="46" t="s">
        <v>28</v>
      </c>
      <c r="D23" s="475"/>
      <c r="E23" s="475"/>
      <c r="F23" s="475"/>
      <c r="G23" s="150">
        <v>3150</v>
      </c>
      <c r="H23" s="150">
        <v>0</v>
      </c>
      <c r="I23" s="150">
        <f t="shared" si="1"/>
        <v>3150</v>
      </c>
      <c r="J23" s="150"/>
      <c r="K23" s="150"/>
      <c r="L23" s="334">
        <f t="shared" si="2"/>
        <v>3150</v>
      </c>
      <c r="M23" s="273"/>
    </row>
    <row r="24" spans="2:13" s="43" customFormat="1" ht="20.25" x14ac:dyDescent="0.2">
      <c r="B24" s="42"/>
      <c r="C24" s="46" t="s">
        <v>29</v>
      </c>
      <c r="D24" s="475"/>
      <c r="E24" s="475"/>
      <c r="F24" s="475"/>
      <c r="G24" s="150">
        <v>17580</v>
      </c>
      <c r="H24" s="150">
        <f>H35</f>
        <v>35160</v>
      </c>
      <c r="I24" s="150">
        <f t="shared" si="1"/>
        <v>52740</v>
      </c>
      <c r="J24" s="150"/>
      <c r="K24" s="150">
        <v>46576</v>
      </c>
      <c r="L24" s="334">
        <f t="shared" si="2"/>
        <v>6164</v>
      </c>
      <c r="M24" s="273">
        <f t="shared" si="0"/>
        <v>0.13234283751288217</v>
      </c>
    </row>
    <row r="25" spans="2:13" s="43" customFormat="1" ht="20.25" x14ac:dyDescent="0.2">
      <c r="B25" s="42"/>
      <c r="C25" s="46" t="s">
        <v>30</v>
      </c>
      <c r="D25" s="475"/>
      <c r="E25" s="475"/>
      <c r="F25" s="475"/>
      <c r="G25" s="150">
        <v>5055</v>
      </c>
      <c r="H25" s="150">
        <f>15000+250</f>
        <v>15250</v>
      </c>
      <c r="I25" s="150">
        <f t="shared" si="1"/>
        <v>20305</v>
      </c>
      <c r="J25" s="150"/>
      <c r="K25" s="150">
        <v>21600</v>
      </c>
      <c r="L25" s="334">
        <f t="shared" si="2"/>
        <v>-1295</v>
      </c>
      <c r="M25" s="273">
        <f t="shared" si="0"/>
        <v>-5.9953703703703703E-2</v>
      </c>
    </row>
    <row r="26" spans="2:13" s="43" customFormat="1" ht="20.25" x14ac:dyDescent="0.2">
      <c r="B26" s="42"/>
      <c r="C26" s="46" t="s">
        <v>16</v>
      </c>
      <c r="D26" s="475"/>
      <c r="E26" s="475"/>
      <c r="F26" s="475"/>
      <c r="G26" s="150">
        <f>18500/12*4</f>
        <v>6166.666666666667</v>
      </c>
      <c r="H26" s="150">
        <f>18500-G26</f>
        <v>12333.333333333332</v>
      </c>
      <c r="I26" s="150">
        <f t="shared" si="1"/>
        <v>18500</v>
      </c>
      <c r="J26" s="150"/>
      <c r="K26" s="150">
        <v>19000</v>
      </c>
      <c r="L26" s="334">
        <f t="shared" si="2"/>
        <v>-500</v>
      </c>
      <c r="M26" s="273">
        <f t="shared" si="0"/>
        <v>-2.6315789473684209E-2</v>
      </c>
    </row>
    <row r="27" spans="2:13" s="43" customFormat="1" ht="20.25" x14ac:dyDescent="0.2">
      <c r="B27" s="42"/>
      <c r="C27" s="46" t="s">
        <v>31</v>
      </c>
      <c r="D27" s="475"/>
      <c r="E27" s="475"/>
      <c r="F27" s="475"/>
      <c r="G27" s="150">
        <f>41600/12*4</f>
        <v>13866.666666666666</v>
      </c>
      <c r="H27" s="150">
        <f>3466.67*8</f>
        <v>27733.360000000001</v>
      </c>
      <c r="I27" s="150">
        <f t="shared" si="1"/>
        <v>41600.026666666665</v>
      </c>
      <c r="J27" s="150"/>
      <c r="K27" s="150">
        <v>50000</v>
      </c>
      <c r="L27" s="334">
        <f t="shared" si="2"/>
        <v>-8399.9733333333352</v>
      </c>
      <c r="M27" s="273">
        <f t="shared" si="0"/>
        <v>-0.16799946666666671</v>
      </c>
    </row>
    <row r="28" spans="2:13" s="43" customFormat="1" ht="20.25" x14ac:dyDescent="0.2">
      <c r="B28" s="42"/>
      <c r="C28" s="46" t="s">
        <v>32</v>
      </c>
      <c r="D28" s="475"/>
      <c r="E28" s="475"/>
      <c r="F28" s="475"/>
      <c r="G28" s="150">
        <f>27832-G26-G27</f>
        <v>7798.6666666666661</v>
      </c>
      <c r="H28" s="150">
        <v>11317</v>
      </c>
      <c r="I28" s="150">
        <f t="shared" si="1"/>
        <v>19115.666666666664</v>
      </c>
      <c r="J28" s="150"/>
      <c r="K28" s="150">
        <v>16835</v>
      </c>
      <c r="L28" s="334">
        <f t="shared" si="2"/>
        <v>2280.6666666666642</v>
      </c>
      <c r="M28" s="273">
        <f t="shared" si="0"/>
        <v>0.13547173547173533</v>
      </c>
    </row>
    <row r="29" spans="2:13" s="43" customFormat="1" ht="20.25" x14ac:dyDescent="0.2">
      <c r="B29" s="42"/>
      <c r="C29" s="46"/>
      <c r="D29" s="42" t="s">
        <v>33</v>
      </c>
      <c r="E29" s="46"/>
      <c r="F29" s="42"/>
      <c r="G29" s="158">
        <f>SUM(G8:G28)</f>
        <v>457054.00000000006</v>
      </c>
      <c r="H29" s="158">
        <f>SUM(H8:H28)</f>
        <v>990861.69333333336</v>
      </c>
      <c r="I29" s="158">
        <f>SUM(I8:I28)</f>
        <v>1447915.6933333334</v>
      </c>
      <c r="J29" s="158"/>
      <c r="K29" s="158">
        <f>SUM(K8:K28)</f>
        <v>1400835</v>
      </c>
      <c r="L29" s="481">
        <f>SUM(L8:L28)</f>
        <v>47080.693333333329</v>
      </c>
      <c r="M29" s="482">
        <f>L29/K29</f>
        <v>3.3609021286113872E-2</v>
      </c>
    </row>
    <row r="30" spans="2:13" s="43" customFormat="1" ht="20.25" x14ac:dyDescent="0.2">
      <c r="B30" s="42"/>
      <c r="C30" s="46"/>
      <c r="D30" s="42"/>
      <c r="E30" s="46"/>
      <c r="F30" s="42"/>
      <c r="G30" s="150"/>
      <c r="H30" s="150"/>
      <c r="I30" s="150"/>
      <c r="J30" s="150"/>
      <c r="K30" s="400"/>
    </row>
    <row r="31" spans="2:13" s="43" customFormat="1" ht="21" thickBot="1" x14ac:dyDescent="0.25">
      <c r="B31" s="54" t="s">
        <v>34</v>
      </c>
      <c r="C31" s="54"/>
      <c r="D31" s="54"/>
      <c r="E31" s="54"/>
      <c r="F31" s="54"/>
      <c r="G31" s="150"/>
      <c r="H31" s="150"/>
      <c r="I31" s="150"/>
      <c r="J31" s="150"/>
    </row>
    <row r="32" spans="2:13" s="43" customFormat="1" ht="20.25" x14ac:dyDescent="0.2">
      <c r="B32" s="42"/>
      <c r="C32" s="46" t="s">
        <v>35</v>
      </c>
      <c r="D32" s="46"/>
      <c r="E32" s="46"/>
      <c r="F32" s="46"/>
      <c r="G32" s="150">
        <v>276045.51</v>
      </c>
      <c r="H32" s="150">
        <v>641500</v>
      </c>
      <c r="I32" s="150">
        <f>SUM(G32:H32)</f>
        <v>917545.51</v>
      </c>
      <c r="J32" s="150"/>
      <c r="K32" s="483">
        <v>932770</v>
      </c>
      <c r="L32" s="334">
        <f>I32-K32</f>
        <v>-15224.489999999991</v>
      </c>
      <c r="M32" s="287">
        <f>L32/K32</f>
        <v>-1.6321804946557019E-2</v>
      </c>
    </row>
    <row r="33" spans="2:13" s="43" customFormat="1" ht="20.25" x14ac:dyDescent="0.2">
      <c r="B33" s="42"/>
      <c r="C33" s="46" t="s">
        <v>36</v>
      </c>
      <c r="D33" s="46"/>
      <c r="E33" s="46"/>
      <c r="F33" s="46"/>
      <c r="G33" s="150">
        <f>60096.8</f>
        <v>60096.800000000003</v>
      </c>
      <c r="H33" s="150">
        <v>131256</v>
      </c>
      <c r="I33" s="150">
        <f>SUM(G33:H33)</f>
        <v>191352.8</v>
      </c>
      <c r="J33" s="150"/>
      <c r="K33" s="185">
        <v>181856</v>
      </c>
      <c r="L33" s="334">
        <f>I33-K33</f>
        <v>9496.7999999999884</v>
      </c>
      <c r="M33" s="287">
        <f>L33/K33</f>
        <v>5.2221537920112554E-2</v>
      </c>
    </row>
    <row r="34" spans="2:13" s="43" customFormat="1" ht="20.25" x14ac:dyDescent="0.2">
      <c r="B34" s="42"/>
      <c r="C34" s="46" t="s">
        <v>37</v>
      </c>
      <c r="D34" s="46"/>
      <c r="E34" s="46"/>
      <c r="F34" s="46"/>
      <c r="G34" s="150">
        <v>600</v>
      </c>
      <c r="H34" s="150">
        <f>150*8</f>
        <v>1200</v>
      </c>
      <c r="I34" s="150">
        <f t="shared" ref="I34:K49" si="3">SUM(G34:H34)</f>
        <v>1800</v>
      </c>
      <c r="J34" s="150"/>
      <c r="K34" s="185">
        <v>1800</v>
      </c>
      <c r="L34" s="334">
        <f t="shared" ref="L34:L49" si="4">I34-K34</f>
        <v>0</v>
      </c>
      <c r="M34" s="287">
        <f t="shared" ref="M34:M49" si="5">L34/K34</f>
        <v>0</v>
      </c>
    </row>
    <row r="35" spans="2:13" s="43" customFormat="1" ht="20.25" x14ac:dyDescent="0.2">
      <c r="B35" s="42"/>
      <c r="C35" s="46" t="s">
        <v>38</v>
      </c>
      <c r="D35" s="46"/>
      <c r="E35" s="46"/>
      <c r="F35" s="46"/>
      <c r="G35" s="150">
        <v>17580</v>
      </c>
      <c r="H35" s="150">
        <f>G35/4*8</f>
        <v>35160</v>
      </c>
      <c r="I35" s="150">
        <f t="shared" si="3"/>
        <v>52740</v>
      </c>
      <c r="J35" s="150"/>
      <c r="K35" s="185">
        <v>46576</v>
      </c>
      <c r="L35" s="334">
        <f t="shared" si="4"/>
        <v>6164</v>
      </c>
      <c r="M35" s="287">
        <f t="shared" si="5"/>
        <v>0.13234283751288217</v>
      </c>
    </row>
    <row r="36" spans="2:13" s="43" customFormat="1" ht="20.25" x14ac:dyDescent="0.2">
      <c r="B36" s="42"/>
      <c r="C36" s="46" t="s">
        <v>39</v>
      </c>
      <c r="D36" s="46"/>
      <c r="E36" s="46"/>
      <c r="F36" s="46"/>
      <c r="G36" s="150">
        <v>6970</v>
      </c>
      <c r="H36" s="150">
        <v>13232</v>
      </c>
      <c r="I36" s="150">
        <f t="shared" si="3"/>
        <v>20202</v>
      </c>
      <c r="J36" s="150"/>
      <c r="K36" s="185">
        <v>19873</v>
      </c>
      <c r="L36" s="334">
        <f t="shared" si="4"/>
        <v>329</v>
      </c>
      <c r="M36" s="287">
        <f t="shared" si="5"/>
        <v>1.6555125044029589E-2</v>
      </c>
    </row>
    <row r="37" spans="2:13" s="43" customFormat="1" ht="20.25" x14ac:dyDescent="0.2">
      <c r="B37" s="42"/>
      <c r="C37" s="46" t="s">
        <v>40</v>
      </c>
      <c r="D37" s="46"/>
      <c r="E37" s="46"/>
      <c r="F37" s="46"/>
      <c r="G37" s="150">
        <v>983</v>
      </c>
      <c r="H37" s="150">
        <f>2736-983</f>
        <v>1753</v>
      </c>
      <c r="I37" s="150">
        <f t="shared" si="3"/>
        <v>2736</v>
      </c>
      <c r="J37" s="150"/>
      <c r="K37" s="185">
        <v>2736</v>
      </c>
      <c r="L37" s="334">
        <f t="shared" si="4"/>
        <v>0</v>
      </c>
      <c r="M37" s="287">
        <f t="shared" si="5"/>
        <v>0</v>
      </c>
    </row>
    <row r="38" spans="2:13" s="43" customFormat="1" ht="20.25" x14ac:dyDescent="0.2">
      <c r="B38" s="42"/>
      <c r="C38" s="46" t="s">
        <v>41</v>
      </c>
      <c r="D38" s="46"/>
      <c r="E38" s="46"/>
      <c r="F38" s="46"/>
      <c r="G38" s="150">
        <v>1426</v>
      </c>
      <c r="H38" s="150">
        <v>4352</v>
      </c>
      <c r="I38" s="150">
        <f t="shared" si="3"/>
        <v>5778</v>
      </c>
      <c r="J38" s="150"/>
      <c r="K38" s="185">
        <v>5022</v>
      </c>
      <c r="L38" s="334">
        <f t="shared" si="4"/>
        <v>756</v>
      </c>
      <c r="M38" s="287">
        <f t="shared" si="5"/>
        <v>0.15053763440860216</v>
      </c>
    </row>
    <row r="39" spans="2:13" s="43" customFormat="1" ht="20.25" x14ac:dyDescent="0.2">
      <c r="B39" s="42"/>
      <c r="C39" s="46" t="s">
        <v>42</v>
      </c>
      <c r="D39" s="46"/>
      <c r="E39" s="46"/>
      <c r="F39" s="46"/>
      <c r="G39" s="150">
        <v>286</v>
      </c>
      <c r="H39" s="150">
        <v>7958</v>
      </c>
      <c r="I39" s="150">
        <f t="shared" si="3"/>
        <v>8244</v>
      </c>
      <c r="J39" s="150"/>
      <c r="K39" s="185">
        <v>6244</v>
      </c>
      <c r="L39" s="334">
        <f t="shared" si="4"/>
        <v>2000</v>
      </c>
      <c r="M39" s="287">
        <f t="shared" si="5"/>
        <v>0.32030749519538759</v>
      </c>
    </row>
    <row r="40" spans="2:13" s="43" customFormat="1" ht="20.25" x14ac:dyDescent="0.2">
      <c r="B40" s="42"/>
      <c r="C40" s="46" t="s">
        <v>43</v>
      </c>
      <c r="D40" s="46"/>
      <c r="E40" s="46"/>
      <c r="F40" s="46"/>
      <c r="G40" s="150">
        <v>14139</v>
      </c>
      <c r="H40" s="150">
        <f>27582</f>
        <v>27582</v>
      </c>
      <c r="I40" s="150">
        <f t="shared" si="3"/>
        <v>41721</v>
      </c>
      <c r="J40" s="150"/>
      <c r="K40" s="185">
        <v>40180</v>
      </c>
      <c r="L40" s="334">
        <f t="shared" si="4"/>
        <v>1541</v>
      </c>
      <c r="M40" s="287">
        <f t="shared" si="5"/>
        <v>3.8352414136386265E-2</v>
      </c>
    </row>
    <row r="41" spans="2:13" s="43" customFormat="1" ht="20.25" x14ac:dyDescent="0.2">
      <c r="B41" s="42"/>
      <c r="C41" s="46" t="s">
        <v>44</v>
      </c>
      <c r="D41" s="46"/>
      <c r="E41" s="46"/>
      <c r="F41" s="46"/>
      <c r="G41" s="150">
        <v>2253</v>
      </c>
      <c r="H41" s="150">
        <v>2960</v>
      </c>
      <c r="I41" s="150">
        <f t="shared" si="3"/>
        <v>5213</v>
      </c>
      <c r="J41" s="150"/>
      <c r="K41" s="185">
        <v>4270</v>
      </c>
      <c r="L41" s="334">
        <f t="shared" si="4"/>
        <v>943</v>
      </c>
      <c r="M41" s="287">
        <f t="shared" si="5"/>
        <v>0.2208430913348946</v>
      </c>
    </row>
    <row r="42" spans="2:13" s="43" customFormat="1" ht="20.25" x14ac:dyDescent="0.2">
      <c r="B42" s="42"/>
      <c r="C42" s="46" t="s">
        <v>45</v>
      </c>
      <c r="D42" s="46"/>
      <c r="E42" s="46"/>
      <c r="F42" s="46"/>
      <c r="G42" s="150">
        <v>386</v>
      </c>
      <c r="H42" s="150">
        <f>1020-G42</f>
        <v>634</v>
      </c>
      <c r="I42" s="150">
        <f t="shared" si="3"/>
        <v>1020</v>
      </c>
      <c r="J42" s="150"/>
      <c r="K42" s="185">
        <v>1020</v>
      </c>
      <c r="L42" s="334">
        <f t="shared" si="4"/>
        <v>0</v>
      </c>
      <c r="M42" s="287">
        <f t="shared" si="5"/>
        <v>0</v>
      </c>
    </row>
    <row r="43" spans="2:13" s="43" customFormat="1" ht="20.25" x14ac:dyDescent="0.2">
      <c r="B43" s="42"/>
      <c r="C43" s="46" t="s">
        <v>46</v>
      </c>
      <c r="D43" s="46"/>
      <c r="E43" s="46"/>
      <c r="F43" s="46"/>
      <c r="G43" s="150">
        <v>10200</v>
      </c>
      <c r="H43" s="150">
        <f>2800+125+25</f>
        <v>2950</v>
      </c>
      <c r="I43" s="150">
        <f t="shared" si="3"/>
        <v>13150</v>
      </c>
      <c r="J43" s="150"/>
      <c r="K43" s="185">
        <v>13618</v>
      </c>
      <c r="L43" s="334">
        <f t="shared" si="4"/>
        <v>-468</v>
      </c>
      <c r="M43" s="287">
        <f t="shared" si="5"/>
        <v>-3.4366279923630491E-2</v>
      </c>
    </row>
    <row r="44" spans="2:13" s="43" customFormat="1" ht="20.25" x14ac:dyDescent="0.2">
      <c r="B44" s="42"/>
      <c r="C44" s="814" t="s">
        <v>47</v>
      </c>
      <c r="D44" s="814"/>
      <c r="E44" s="814"/>
      <c r="F44" s="814"/>
      <c r="G44" s="150"/>
      <c r="H44" s="150">
        <f>SUM([1]Transportaton!N46:S46)</f>
        <v>0</v>
      </c>
      <c r="I44" s="150">
        <f t="shared" si="3"/>
        <v>0</v>
      </c>
      <c r="J44" s="150"/>
      <c r="K44" s="150">
        <f t="shared" si="3"/>
        <v>0</v>
      </c>
      <c r="L44" s="334">
        <f t="shared" si="4"/>
        <v>0</v>
      </c>
      <c r="M44" s="287"/>
    </row>
    <row r="45" spans="2:13" s="43" customFormat="1" ht="20.25" x14ac:dyDescent="0.2">
      <c r="B45" s="42"/>
      <c r="C45" s="46" t="s">
        <v>48</v>
      </c>
      <c r="D45" s="46"/>
      <c r="E45" s="46"/>
      <c r="F45" s="46"/>
      <c r="G45" s="150">
        <v>7626</v>
      </c>
      <c r="H45" s="150">
        <v>7740</v>
      </c>
      <c r="I45" s="150">
        <f t="shared" si="3"/>
        <v>15366</v>
      </c>
      <c r="J45" s="150"/>
      <c r="K45" s="185">
        <v>13802</v>
      </c>
      <c r="L45" s="334">
        <f t="shared" si="4"/>
        <v>1564</v>
      </c>
      <c r="M45" s="287">
        <f t="shared" si="5"/>
        <v>0.11331691059266773</v>
      </c>
    </row>
    <row r="46" spans="2:13" s="43" customFormat="1" ht="20.25" x14ac:dyDescent="0.2">
      <c r="B46" s="42"/>
      <c r="C46" s="46" t="s">
        <v>49</v>
      </c>
      <c r="D46" s="46"/>
      <c r="E46" s="46"/>
      <c r="F46" s="46"/>
      <c r="G46" s="150">
        <v>3742</v>
      </c>
      <c r="H46" s="150">
        <v>7566</v>
      </c>
      <c r="I46" s="150">
        <f t="shared" si="3"/>
        <v>11308</v>
      </c>
      <c r="J46" s="150"/>
      <c r="K46" s="185">
        <v>10740</v>
      </c>
      <c r="L46" s="334">
        <f t="shared" si="4"/>
        <v>568</v>
      </c>
      <c r="M46" s="287">
        <f t="shared" si="5"/>
        <v>5.2886405959031657E-2</v>
      </c>
    </row>
    <row r="47" spans="2:13" s="43" customFormat="1" ht="20.25" x14ac:dyDescent="0.2">
      <c r="B47" s="42"/>
      <c r="C47" s="46" t="s">
        <v>50</v>
      </c>
      <c r="D47" s="46"/>
      <c r="E47" s="46"/>
      <c r="F47" s="46"/>
      <c r="G47" s="150">
        <v>340</v>
      </c>
      <c r="H47" s="150">
        <v>1140</v>
      </c>
      <c r="I47" s="150">
        <f t="shared" si="3"/>
        <v>1480</v>
      </c>
      <c r="J47" s="150"/>
      <c r="K47" s="185">
        <v>1470</v>
      </c>
      <c r="L47" s="334">
        <f t="shared" si="4"/>
        <v>10</v>
      </c>
      <c r="M47" s="287">
        <f t="shared" si="5"/>
        <v>6.8027210884353739E-3</v>
      </c>
    </row>
    <row r="48" spans="2:13" s="43" customFormat="1" ht="20.25" x14ac:dyDescent="0.2">
      <c r="B48" s="42"/>
      <c r="C48" s="46" t="s">
        <v>51</v>
      </c>
      <c r="D48" s="46"/>
      <c r="E48" s="46"/>
      <c r="F48" s="46"/>
      <c r="G48" s="150"/>
      <c r="H48" s="150">
        <v>2500</v>
      </c>
      <c r="I48" s="150">
        <f t="shared" si="3"/>
        <v>2500</v>
      </c>
      <c r="J48" s="150"/>
      <c r="K48" s="185">
        <v>3000</v>
      </c>
      <c r="L48" s="334">
        <f t="shared" si="4"/>
        <v>-500</v>
      </c>
      <c r="M48" s="287">
        <f t="shared" si="5"/>
        <v>-0.16666666666666666</v>
      </c>
    </row>
    <row r="49" spans="2:13" s="43" customFormat="1" ht="20.25" customHeight="1" x14ac:dyDescent="0.2">
      <c r="B49" s="42"/>
      <c r="C49" s="46" t="s">
        <v>52</v>
      </c>
      <c r="D49" s="46"/>
      <c r="E49" s="46"/>
      <c r="F49" s="46"/>
      <c r="G49" s="150">
        <v>462</v>
      </c>
      <c r="H49" s="150">
        <v>4500</v>
      </c>
      <c r="I49" s="150">
        <f t="shared" si="3"/>
        <v>4962</v>
      </c>
      <c r="J49" s="150"/>
      <c r="K49" s="185">
        <v>9980</v>
      </c>
      <c r="L49" s="334">
        <f t="shared" si="4"/>
        <v>-5018</v>
      </c>
      <c r="M49" s="287">
        <f t="shared" si="5"/>
        <v>-0.50280561122244494</v>
      </c>
    </row>
    <row r="50" spans="2:13" s="43" customFormat="1" ht="20.25" x14ac:dyDescent="0.2">
      <c r="B50" s="46"/>
      <c r="C50" s="46" t="s">
        <v>53</v>
      </c>
      <c r="D50" s="46"/>
      <c r="E50" s="46"/>
      <c r="F50" s="46"/>
      <c r="G50" s="150">
        <v>5810</v>
      </c>
      <c r="H50" s="150">
        <v>21380</v>
      </c>
      <c r="I50" s="150">
        <f>G50+H50</f>
        <v>27190</v>
      </c>
      <c r="J50" s="150"/>
      <c r="K50" s="185">
        <v>8437</v>
      </c>
      <c r="L50" s="334">
        <f>I50-K50</f>
        <v>18753</v>
      </c>
      <c r="M50" s="287">
        <f>L50/K50</f>
        <v>2.2227094938959344</v>
      </c>
    </row>
    <row r="51" spans="2:13" s="43" customFormat="1" ht="20.25" x14ac:dyDescent="0.2">
      <c r="B51" s="42"/>
      <c r="C51" s="46" t="s">
        <v>54</v>
      </c>
      <c r="D51" s="46"/>
      <c r="E51" s="46"/>
      <c r="F51" s="46"/>
      <c r="G51" s="150">
        <v>18022</v>
      </c>
      <c r="H51" s="150">
        <v>39426</v>
      </c>
      <c r="I51" s="150">
        <f t="shared" ref="I51:I53" si="6">G51+H51</f>
        <v>57448</v>
      </c>
      <c r="J51" s="150"/>
      <c r="K51" s="185">
        <v>54075</v>
      </c>
      <c r="L51" s="334">
        <f t="shared" ref="L51:L53" si="7">I51-K51</f>
        <v>3373</v>
      </c>
      <c r="M51" s="287">
        <f t="shared" ref="M51:M54" si="8">L51/K51</f>
        <v>6.2376329172445677E-2</v>
      </c>
    </row>
    <row r="52" spans="2:13" s="43" customFormat="1" ht="20.25" x14ac:dyDescent="0.2">
      <c r="B52" s="42"/>
      <c r="C52" s="46" t="s">
        <v>55</v>
      </c>
      <c r="D52" s="46"/>
      <c r="E52" s="46"/>
      <c r="F52" s="46"/>
      <c r="G52" s="150">
        <v>39998</v>
      </c>
      <c r="H52" s="150">
        <v>31489</v>
      </c>
      <c r="I52" s="150">
        <f t="shared" si="6"/>
        <v>71487</v>
      </c>
      <c r="J52" s="150"/>
      <c r="K52" s="185">
        <v>42592</v>
      </c>
      <c r="L52" s="334">
        <f t="shared" si="7"/>
        <v>28895</v>
      </c>
      <c r="M52" s="287">
        <f t="shared" si="8"/>
        <v>0.67841378662659657</v>
      </c>
    </row>
    <row r="53" spans="2:13" s="43" customFormat="1" ht="21" thickBot="1" x14ac:dyDescent="0.25">
      <c r="B53" s="42"/>
      <c r="C53" s="46" t="s">
        <v>56</v>
      </c>
      <c r="D53" s="46"/>
      <c r="E53" s="46"/>
      <c r="F53" s="46"/>
      <c r="G53" s="157">
        <v>660</v>
      </c>
      <c r="H53" s="152">
        <f>660/4*5</f>
        <v>825</v>
      </c>
      <c r="I53" s="152">
        <f t="shared" si="6"/>
        <v>1485</v>
      </c>
      <c r="J53" s="152"/>
      <c r="K53" s="484">
        <v>1980</v>
      </c>
      <c r="L53" s="337">
        <f t="shared" si="7"/>
        <v>-495</v>
      </c>
      <c r="M53" s="287">
        <f t="shared" si="8"/>
        <v>-0.25</v>
      </c>
    </row>
    <row r="54" spans="2:13" s="43" customFormat="1" ht="20.25" x14ac:dyDescent="0.2">
      <c r="B54" s="46"/>
      <c r="C54" s="42"/>
      <c r="D54" s="42"/>
      <c r="G54" s="150">
        <f>SUM(G32:G53)</f>
        <v>467625.31</v>
      </c>
      <c r="H54" s="150">
        <f>SUM(H32:H53)</f>
        <v>987103</v>
      </c>
      <c r="I54" s="150">
        <f>SUM(I32:I53)</f>
        <v>1454728.31</v>
      </c>
      <c r="J54" s="150"/>
      <c r="K54" s="150">
        <f>SUM(K32:K53)</f>
        <v>1402041</v>
      </c>
      <c r="L54" s="150">
        <f>SUM(L32:L53)</f>
        <v>52687.31</v>
      </c>
      <c r="M54" s="482">
        <f t="shared" si="8"/>
        <v>3.7579008031862121E-2</v>
      </c>
    </row>
    <row r="55" spans="2:13" s="43" customFormat="1" ht="8.25" customHeight="1" x14ac:dyDescent="0.2">
      <c r="B55" s="46"/>
      <c r="C55" s="42"/>
      <c r="D55" s="42"/>
      <c r="G55" s="150"/>
      <c r="H55" s="150"/>
      <c r="I55" s="150"/>
      <c r="J55" s="150"/>
      <c r="K55" s="150"/>
    </row>
    <row r="56" spans="2:13" s="43" customFormat="1" ht="20.25" x14ac:dyDescent="0.2">
      <c r="B56" s="46"/>
      <c r="C56" s="485" t="s">
        <v>57</v>
      </c>
      <c r="D56"/>
      <c r="E56" s="42"/>
      <c r="F56" s="42"/>
      <c r="G56" s="158">
        <f>G29-G54</f>
        <v>-10571.309999999939</v>
      </c>
      <c r="H56" s="158">
        <f>H29-H54</f>
        <v>3758.6933333333582</v>
      </c>
      <c r="I56" s="158">
        <f>G56+H56</f>
        <v>-6812.6166666665813</v>
      </c>
      <c r="J56" s="150"/>
      <c r="K56" s="158">
        <f>K29-K54</f>
        <v>-1206</v>
      </c>
      <c r="L56" s="486">
        <f t="shared" ref="L56" si="9">I56-K56</f>
        <v>-5606.6166666665813</v>
      </c>
      <c r="M56" s="482">
        <f t="shared" ref="M56" si="10">L56/K56</f>
        <v>4.6489358761746118</v>
      </c>
    </row>
    <row r="57" spans="2:13" s="43" customFormat="1" ht="9" customHeight="1" x14ac:dyDescent="0.2">
      <c r="B57" s="46"/>
      <c r="C57" s="46"/>
      <c r="D57" s="46"/>
      <c r="E57" s="46"/>
      <c r="F57" s="46"/>
      <c r="G57" s="150"/>
      <c r="H57" s="150"/>
      <c r="I57" s="150"/>
      <c r="J57" s="150"/>
      <c r="K57" s="150"/>
    </row>
    <row r="58" spans="2:13" s="43" customFormat="1" ht="20.25" x14ac:dyDescent="0.2">
      <c r="B58" s="46"/>
      <c r="C58" s="46" t="s">
        <v>58</v>
      </c>
      <c r="D58" s="46"/>
      <c r="F58" s="46"/>
      <c r="G58" s="150">
        <v>12820</v>
      </c>
      <c r="H58" s="150">
        <f>25640+6</f>
        <v>25646</v>
      </c>
      <c r="I58" s="150">
        <f>G58+H58</f>
        <v>38466</v>
      </c>
      <c r="J58" s="150"/>
      <c r="K58" s="150">
        <v>34092</v>
      </c>
    </row>
    <row r="59" spans="2:13" s="43" customFormat="1" ht="9" customHeight="1" x14ac:dyDescent="0.2">
      <c r="B59" s="46"/>
      <c r="C59" s="46"/>
      <c r="D59" s="46"/>
      <c r="E59" s="46"/>
      <c r="F59" s="46"/>
      <c r="G59" s="150"/>
      <c r="H59" s="150"/>
      <c r="I59" s="150"/>
      <c r="J59" s="150"/>
      <c r="K59" s="150"/>
    </row>
    <row r="60" spans="2:13" s="43" customFormat="1" ht="21" thickBot="1" x14ac:dyDescent="0.25">
      <c r="B60" s="42"/>
      <c r="C60" s="485" t="s">
        <v>59</v>
      </c>
      <c r="D60"/>
      <c r="E60"/>
      <c r="F60"/>
      <c r="G60" s="487">
        <f>G56-G58</f>
        <v>-23391.309999999939</v>
      </c>
      <c r="H60" s="487">
        <f>H56-H58</f>
        <v>-21887.306666666642</v>
      </c>
      <c r="I60" s="487">
        <f>I56-I58</f>
        <v>-45278.616666666581</v>
      </c>
      <c r="J60" s="153"/>
      <c r="K60" s="487">
        <f>K56-K58</f>
        <v>-35298</v>
      </c>
    </row>
    <row r="61" spans="2:13" s="43" customFormat="1" ht="21" thickTop="1" x14ac:dyDescent="0.2">
      <c r="B61" s="42"/>
      <c r="C61" s="42"/>
      <c r="D61" s="42"/>
      <c r="E61" s="42"/>
      <c r="F61" s="42"/>
      <c r="G61" s="153"/>
      <c r="H61" s="153"/>
      <c r="I61" s="153"/>
      <c r="J61" s="153"/>
      <c r="K61" s="153"/>
    </row>
    <row r="62" spans="2:13" s="43" customFormat="1" ht="23.25" x14ac:dyDescent="0.2">
      <c r="B62" s="178"/>
      <c r="C62" s="42"/>
      <c r="D62" s="42"/>
      <c r="E62" s="42"/>
      <c r="F62" s="42"/>
      <c r="G62" s="150"/>
      <c r="H62" s="150"/>
      <c r="I62" s="150"/>
      <c r="J62" s="150"/>
      <c r="K62" s="150"/>
    </row>
    <row r="63" spans="2:13" s="43" customFormat="1" ht="20.25" x14ac:dyDescent="0.2">
      <c r="B63" s="46"/>
      <c r="D63" s="46"/>
      <c r="E63" s="46"/>
      <c r="F63" s="46"/>
      <c r="G63" s="150"/>
      <c r="H63" s="150"/>
      <c r="I63" s="150"/>
      <c r="J63" s="150"/>
      <c r="K63" s="150"/>
    </row>
    <row r="64" spans="2:13" s="43" customFormat="1" ht="20.25" x14ac:dyDescent="0.2">
      <c r="B64" s="46"/>
      <c r="D64" s="46"/>
      <c r="E64" s="46"/>
      <c r="F64" s="42" t="s">
        <v>60</v>
      </c>
      <c r="G64" s="150"/>
      <c r="H64" s="150"/>
      <c r="I64" s="150"/>
      <c r="J64" s="150"/>
      <c r="K64" s="150"/>
    </row>
    <row r="65" spans="6:6" s="43" customFormat="1" ht="20.25" x14ac:dyDescent="0.2">
      <c r="F65" s="507" t="s">
        <v>61</v>
      </c>
    </row>
    <row r="66" spans="6:6" s="43" customFormat="1" ht="20.25" x14ac:dyDescent="0.2">
      <c r="F66" s="507" t="s">
        <v>62</v>
      </c>
    </row>
    <row r="67" spans="6:6" s="43" customFormat="1" ht="20.25" x14ac:dyDescent="0.2">
      <c r="F67" s="507" t="s">
        <v>63</v>
      </c>
    </row>
  </sheetData>
  <mergeCells count="3">
    <mergeCell ref="G5:K5"/>
    <mergeCell ref="L7:M7"/>
    <mergeCell ref="C44:F44"/>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P307"/>
  <sheetViews>
    <sheetView topLeftCell="A17" zoomScale="85" zoomScaleNormal="85" workbookViewId="0">
      <selection activeCell="H60" sqref="H60"/>
    </sheetView>
  </sheetViews>
  <sheetFormatPr defaultRowHeight="14.25" x14ac:dyDescent="0.2"/>
  <cols>
    <col min="1" max="1" width="1.125" customWidth="1"/>
    <col min="2" max="2" width="50" customWidth="1"/>
    <col min="3" max="3" width="27.625" customWidth="1"/>
    <col min="4" max="4" width="17.25" style="3" customWidth="1"/>
    <col min="5" max="5" width="13.625" style="3" customWidth="1"/>
    <col min="6" max="6" width="12.75" style="3" customWidth="1"/>
    <col min="7" max="7" width="19.75" style="19" customWidth="1"/>
    <col min="8" max="8" width="18.25" style="19" customWidth="1"/>
    <col min="9" max="10" width="18.125" style="19" customWidth="1"/>
    <col min="11" max="11" width="17.75" style="19" customWidth="1"/>
    <col min="12" max="12" width="18" style="19" customWidth="1"/>
    <col min="13" max="15" width="20.625" style="19" customWidth="1"/>
  </cols>
  <sheetData>
    <row r="1" spans="2:94" s="8" customFormat="1" ht="18" x14ac:dyDescent="0.25">
      <c r="B1" s="6" t="s">
        <v>366</v>
      </c>
      <c r="C1" s="6"/>
      <c r="D1" s="7"/>
      <c r="E1" s="7"/>
      <c r="F1" s="7"/>
      <c r="G1" s="18"/>
      <c r="H1" s="18"/>
      <c r="I1" s="18"/>
      <c r="J1" s="18"/>
      <c r="K1" s="18"/>
      <c r="M1" s="18"/>
    </row>
    <row r="2" spans="2:94" s="8" customFormat="1" ht="18" x14ac:dyDescent="0.25">
      <c r="B2" s="9" t="s">
        <v>418</v>
      </c>
      <c r="C2" s="9"/>
      <c r="D2" s="7"/>
      <c r="E2" s="7"/>
      <c r="F2" s="7"/>
      <c r="G2" s="18"/>
      <c r="H2" s="18"/>
      <c r="I2" s="18"/>
      <c r="J2" s="18"/>
      <c r="K2" s="18"/>
      <c r="M2" s="18"/>
    </row>
    <row r="3" spans="2:94" s="8" customFormat="1" ht="18" x14ac:dyDescent="0.25">
      <c r="B3" s="9" t="s">
        <v>826</v>
      </c>
      <c r="C3" s="9"/>
      <c r="D3" s="7"/>
      <c r="E3" s="7"/>
      <c r="F3" s="7"/>
      <c r="G3" s="18"/>
      <c r="H3" s="18"/>
      <c r="I3" s="18"/>
      <c r="J3" s="18"/>
      <c r="K3" s="18"/>
      <c r="M3" s="18"/>
    </row>
    <row r="4" spans="2:94" s="8" customFormat="1" ht="13.5" customHeight="1" thickBot="1" x14ac:dyDescent="0.3">
      <c r="B4" s="9"/>
      <c r="C4" s="9"/>
      <c r="D4" s="7"/>
      <c r="E4" s="7"/>
      <c r="F4" s="7"/>
      <c r="G4" s="18"/>
      <c r="H4" s="18"/>
      <c r="I4" s="18"/>
      <c r="J4" s="18"/>
      <c r="K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row>
    <row r="5" spans="2:94" s="16" customFormat="1" ht="18.75" thickBot="1" x14ac:dyDescent="0.3">
      <c r="B5" s="165" t="s">
        <v>419</v>
      </c>
      <c r="C5" s="166"/>
      <c r="D5" s="166"/>
      <c r="E5" s="166"/>
      <c r="F5" s="166"/>
      <c r="G5" s="166"/>
      <c r="H5" s="166"/>
      <c r="I5" s="166"/>
      <c r="J5" s="166"/>
      <c r="K5" s="166"/>
      <c r="L5" s="167"/>
      <c r="M5" s="20"/>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2:94" s="15" customFormat="1" ht="30.75" thickBot="1" x14ac:dyDescent="0.3">
      <c r="B6" s="215" t="s">
        <v>420</v>
      </c>
      <c r="C6" s="514" t="s">
        <v>421</v>
      </c>
      <c r="D6" s="215" t="s">
        <v>422</v>
      </c>
      <c r="E6" s="514" t="s">
        <v>423</v>
      </c>
      <c r="F6" s="215" t="s">
        <v>424</v>
      </c>
      <c r="G6" s="491" t="s">
        <v>425</v>
      </c>
      <c r="H6" s="220" t="s">
        <v>426</v>
      </c>
      <c r="I6" s="491" t="s">
        <v>427</v>
      </c>
      <c r="J6" s="553" t="s">
        <v>428</v>
      </c>
      <c r="K6" s="220" t="s">
        <v>429</v>
      </c>
      <c r="L6" s="555" t="s">
        <v>430</v>
      </c>
      <c r="M6" s="24"/>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2:94" ht="18" x14ac:dyDescent="0.25">
      <c r="B7" s="549"/>
      <c r="C7" s="551"/>
      <c r="D7" s="576"/>
      <c r="E7" s="718"/>
      <c r="F7" s="379"/>
      <c r="G7" s="578"/>
      <c r="H7" s="209"/>
      <c r="I7" s="492"/>
      <c r="J7" s="209"/>
      <c r="K7" s="579">
        <f t="shared" ref="K7:K17" si="0">G7-J7</f>
        <v>0</v>
      </c>
      <c r="L7" s="209"/>
      <c r="M7" s="501"/>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2:94" ht="18" x14ac:dyDescent="0.25">
      <c r="B8" s="549" t="s">
        <v>431</v>
      </c>
      <c r="C8" s="551" t="s">
        <v>432</v>
      </c>
      <c r="D8" s="576" t="s">
        <v>433</v>
      </c>
      <c r="E8" s="718">
        <v>45658</v>
      </c>
      <c r="F8" s="379">
        <v>45930</v>
      </c>
      <c r="G8" s="578">
        <f>141001*9/12</f>
        <v>105750.75</v>
      </c>
      <c r="H8" s="209">
        <v>0</v>
      </c>
      <c r="I8" s="492">
        <f>'August''25 AR Aging'!H35</f>
        <v>0</v>
      </c>
      <c r="J8" s="209">
        <v>69935</v>
      </c>
      <c r="K8" s="579">
        <f t="shared" ref="K8" si="1">G8-J8</f>
        <v>35815.75</v>
      </c>
      <c r="L8" s="209"/>
      <c r="M8" s="501"/>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2:94" ht="18" x14ac:dyDescent="0.25">
      <c r="B9" s="549" t="s">
        <v>434</v>
      </c>
      <c r="C9" s="551" t="s">
        <v>432</v>
      </c>
      <c r="D9" s="576" t="s">
        <v>435</v>
      </c>
      <c r="E9" s="718">
        <v>45505</v>
      </c>
      <c r="F9" s="379">
        <v>45868</v>
      </c>
      <c r="G9" s="579">
        <v>353541.54</v>
      </c>
      <c r="H9" s="209">
        <f t="shared" ref="H9:H20" si="2">J9-I9</f>
        <v>239173.91999999998</v>
      </c>
      <c r="I9" s="492">
        <f>'August''25 AR Aging'!H28</f>
        <v>48150</v>
      </c>
      <c r="J9" s="209">
        <v>287323.92</v>
      </c>
      <c r="K9" s="579">
        <f t="shared" si="0"/>
        <v>66217.62</v>
      </c>
      <c r="L9" s="209"/>
      <c r="M9" s="502"/>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2:94" ht="18" x14ac:dyDescent="0.25">
      <c r="B10" s="549" t="s">
        <v>436</v>
      </c>
      <c r="C10" s="551" t="s">
        <v>432</v>
      </c>
      <c r="D10" s="576" t="s">
        <v>435</v>
      </c>
      <c r="E10" s="718">
        <v>45870</v>
      </c>
      <c r="F10" s="379">
        <v>46418</v>
      </c>
      <c r="G10" s="795">
        <v>530312.31999999995</v>
      </c>
      <c r="H10" s="209">
        <v>0</v>
      </c>
      <c r="I10" s="492">
        <f>'August''25 AR Aging'!H29</f>
        <v>20764</v>
      </c>
      <c r="J10" s="209">
        <v>0</v>
      </c>
      <c r="K10" s="579">
        <f t="shared" ref="K10" si="3">G10-J10</f>
        <v>530312.31999999995</v>
      </c>
      <c r="L10" s="209"/>
      <c r="M10" s="502"/>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2:94" ht="18" x14ac:dyDescent="0.25">
      <c r="B11" s="549" t="s">
        <v>437</v>
      </c>
      <c r="C11" s="551" t="s">
        <v>438</v>
      </c>
      <c r="D11" s="576" t="s">
        <v>439</v>
      </c>
      <c r="E11" s="718">
        <v>45658</v>
      </c>
      <c r="F11" s="379">
        <v>46022</v>
      </c>
      <c r="G11" s="579">
        <v>51500</v>
      </c>
      <c r="H11" s="209">
        <f t="shared" ref="H11" si="4">J11-I11</f>
        <v>21458.03</v>
      </c>
      <c r="I11" s="492">
        <f>'August''25 AR Aging'!H44</f>
        <v>12875.33</v>
      </c>
      <c r="J11" s="209">
        <v>34333.360000000001</v>
      </c>
      <c r="K11" s="579">
        <f t="shared" ref="K11" si="5">G11-J11</f>
        <v>17166.64</v>
      </c>
      <c r="L11" s="209"/>
      <c r="M11" s="502"/>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row>
    <row r="12" spans="2:94" s="2" customFormat="1" ht="15" customHeight="1" x14ac:dyDescent="0.25">
      <c r="B12" s="549" t="s">
        <v>440</v>
      </c>
      <c r="C12" s="551" t="s">
        <v>438</v>
      </c>
      <c r="D12" s="576" t="s">
        <v>439</v>
      </c>
      <c r="E12" s="718">
        <v>45383</v>
      </c>
      <c r="F12" s="379">
        <v>45747</v>
      </c>
      <c r="G12" s="579">
        <v>163196</v>
      </c>
      <c r="H12" s="209">
        <f t="shared" si="2"/>
        <v>142942.39999999999</v>
      </c>
      <c r="I12" s="492">
        <v>0</v>
      </c>
      <c r="J12" s="209">
        <v>142942.39999999999</v>
      </c>
      <c r="K12" s="579">
        <f t="shared" si="0"/>
        <v>20253.600000000006</v>
      </c>
      <c r="L12" s="209"/>
      <c r="M12" s="162"/>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2:94" s="2" customFormat="1" ht="15" customHeight="1" x14ac:dyDescent="0.25">
      <c r="B13" s="549" t="s">
        <v>440</v>
      </c>
      <c r="C13" s="551" t="s">
        <v>438</v>
      </c>
      <c r="D13" s="576" t="s">
        <v>439</v>
      </c>
      <c r="E13" s="718">
        <v>45748</v>
      </c>
      <c r="F13" s="379">
        <v>46112</v>
      </c>
      <c r="G13" s="579">
        <v>163196</v>
      </c>
      <c r="H13" s="209">
        <f t="shared" ref="H13" si="6">J13-I13</f>
        <v>0</v>
      </c>
      <c r="I13" s="492">
        <f>'August''25 AR Aging'!H14</f>
        <v>57964.36</v>
      </c>
      <c r="J13" s="209">
        <v>57964.36</v>
      </c>
      <c r="K13" s="579">
        <f t="shared" ref="K13" si="7">G13-J13</f>
        <v>105231.64</v>
      </c>
      <c r="L13" s="209"/>
      <c r="M13" s="162"/>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2:94" s="2" customFormat="1" ht="15" customHeight="1" x14ac:dyDescent="0.25">
      <c r="B14" s="549" t="s">
        <v>441</v>
      </c>
      <c r="C14" s="551" t="s">
        <v>438</v>
      </c>
      <c r="D14" s="576" t="s">
        <v>439</v>
      </c>
      <c r="E14" s="718">
        <v>45748</v>
      </c>
      <c r="F14" s="379">
        <v>45900</v>
      </c>
      <c r="G14" s="579">
        <v>6707</v>
      </c>
      <c r="H14" s="209">
        <f t="shared" ref="H14" si="8">J14-I14</f>
        <v>0</v>
      </c>
      <c r="I14" s="492">
        <f>'August''25 AR Aging'!H15</f>
        <v>6707</v>
      </c>
      <c r="J14" s="209">
        <v>6707</v>
      </c>
      <c r="K14" s="579">
        <f t="shared" ref="K14" si="9">G14-J14</f>
        <v>0</v>
      </c>
      <c r="L14" s="209"/>
      <c r="M14" s="162"/>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2:94" s="2" customFormat="1" ht="15" customHeight="1" x14ac:dyDescent="0.25">
      <c r="B15" s="549" t="s">
        <v>440</v>
      </c>
      <c r="C15" s="551" t="s">
        <v>442</v>
      </c>
      <c r="D15" s="576" t="s">
        <v>439</v>
      </c>
      <c r="E15" s="718">
        <v>45748</v>
      </c>
      <c r="F15" s="379">
        <v>46112</v>
      </c>
      <c r="G15" s="579">
        <v>180000</v>
      </c>
      <c r="H15" s="209">
        <f t="shared" ref="H15" si="10">J15-I15</f>
        <v>19039.369999999995</v>
      </c>
      <c r="I15" s="492">
        <f>'August''25 AR Aging'!H23</f>
        <v>34745.660000000003</v>
      </c>
      <c r="J15" s="209">
        <v>53785.03</v>
      </c>
      <c r="K15" s="579">
        <f t="shared" ref="K15" si="11">G15-J15</f>
        <v>126214.97</v>
      </c>
      <c r="L15" s="209"/>
      <c r="M15" s="162"/>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2:94" s="2" customFormat="1" ht="18" x14ac:dyDescent="0.25">
      <c r="B16" s="549" t="s">
        <v>443</v>
      </c>
      <c r="C16" s="551" t="s">
        <v>444</v>
      </c>
      <c r="D16" s="576" t="s">
        <v>439</v>
      </c>
      <c r="E16" s="718">
        <v>45658</v>
      </c>
      <c r="F16" s="379">
        <v>46022</v>
      </c>
      <c r="G16" s="579">
        <v>18000</v>
      </c>
      <c r="H16" s="209">
        <f t="shared" si="2"/>
        <v>1500</v>
      </c>
      <c r="I16" s="579">
        <f>'August''25 AR Aging'!H38</f>
        <v>7500</v>
      </c>
      <c r="J16" s="209">
        <f>G16/12*6</f>
        <v>9000</v>
      </c>
      <c r="K16" s="579">
        <f t="shared" si="0"/>
        <v>9000</v>
      </c>
      <c r="L16" s="209"/>
      <c r="M16" s="162"/>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2:94" s="2" customFormat="1" ht="18" x14ac:dyDescent="0.25">
      <c r="B17" s="549" t="s">
        <v>445</v>
      </c>
      <c r="C17" s="551" t="s">
        <v>446</v>
      </c>
      <c r="D17" s="576" t="s">
        <v>447</v>
      </c>
      <c r="E17" s="718">
        <v>45658</v>
      </c>
      <c r="F17" s="379">
        <v>46022</v>
      </c>
      <c r="G17" s="579">
        <v>5000</v>
      </c>
      <c r="H17" s="209">
        <f t="shared" si="2"/>
        <v>1250</v>
      </c>
      <c r="I17" s="579">
        <f>'August''25 AR Aging'!H7</f>
        <v>1250</v>
      </c>
      <c r="J17" s="586">
        <v>2500</v>
      </c>
      <c r="K17" s="579">
        <f t="shared" si="0"/>
        <v>2500</v>
      </c>
      <c r="L17" s="209"/>
      <c r="M17" s="162"/>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2:94" s="2" customFormat="1" ht="18" x14ac:dyDescent="0.25">
      <c r="B18" s="548" t="s">
        <v>448</v>
      </c>
      <c r="C18" s="191" t="s">
        <v>15</v>
      </c>
      <c r="D18" s="196" t="s">
        <v>447</v>
      </c>
      <c r="E18" s="4">
        <v>45516</v>
      </c>
      <c r="F18" s="195">
        <v>45838</v>
      </c>
      <c r="G18" s="575">
        <v>42122.51</v>
      </c>
      <c r="H18" s="198">
        <v>25903.759999999998</v>
      </c>
      <c r="I18" s="490">
        <v>0</v>
      </c>
      <c r="J18" s="198">
        <v>25904</v>
      </c>
      <c r="K18" s="490">
        <v>0</v>
      </c>
      <c r="L18" s="198"/>
      <c r="M18" s="187"/>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2:94" s="2" customFormat="1" ht="20.25" customHeight="1" x14ac:dyDescent="0.25">
      <c r="B19" s="548" t="s">
        <v>448</v>
      </c>
      <c r="C19" s="191" t="s">
        <v>15</v>
      </c>
      <c r="D19" s="196" t="s">
        <v>447</v>
      </c>
      <c r="E19" s="4">
        <v>45839</v>
      </c>
      <c r="F19" s="195">
        <v>46203</v>
      </c>
      <c r="G19" s="575">
        <v>62141.65</v>
      </c>
      <c r="H19" s="198">
        <f>1507.46+1774.69+2019.92+2459.75+2139.87</f>
        <v>9901.6899999999987</v>
      </c>
      <c r="I19" s="490">
        <f>'August''25 AR Aging'!H20</f>
        <v>8394.2199999999993</v>
      </c>
      <c r="J19" s="198">
        <v>9902</v>
      </c>
      <c r="K19" s="490">
        <f t="shared" ref="K19" si="12">G19-J19</f>
        <v>52239.65</v>
      </c>
      <c r="L19" s="198"/>
      <c r="M19" s="187"/>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2:94" s="2" customFormat="1" ht="18.75" thickBot="1" x14ac:dyDescent="0.3">
      <c r="B20" s="550" t="s">
        <v>449</v>
      </c>
      <c r="C20" s="192" t="s">
        <v>15</v>
      </c>
      <c r="D20" s="577" t="s">
        <v>447</v>
      </c>
      <c r="E20" s="719">
        <v>45516</v>
      </c>
      <c r="F20" s="720">
        <v>45877</v>
      </c>
      <c r="G20" s="580">
        <v>36031</v>
      </c>
      <c r="H20" s="199">
        <f t="shared" si="2"/>
        <v>13330.6</v>
      </c>
      <c r="I20" s="581">
        <f>'August''25 AR Aging'!H21</f>
        <v>0</v>
      </c>
      <c r="J20" s="199">
        <v>13330.6</v>
      </c>
      <c r="K20" s="199">
        <v>0</v>
      </c>
      <c r="L20" s="199"/>
      <c r="M20" s="187"/>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2:94" s="10" customFormat="1" ht="18.75" thickBot="1" x14ac:dyDescent="0.3">
      <c r="B21" s="169" t="s">
        <v>450</v>
      </c>
      <c r="C21" s="170"/>
      <c r="D21" s="171"/>
      <c r="E21" s="172"/>
      <c r="F21" s="172"/>
      <c r="G21" s="189"/>
      <c r="H21" s="574">
        <f>SUM(H7:H20)</f>
        <v>474499.76999999996</v>
      </c>
      <c r="I21" s="189">
        <f>SUM(I7:I20)</f>
        <v>198350.57</v>
      </c>
      <c r="J21" s="189">
        <f>SUM(J7:J20)</f>
        <v>713627.66999999993</v>
      </c>
      <c r="K21" s="189">
        <f>SUM(K7:K20)</f>
        <v>964952.19</v>
      </c>
      <c r="L21" s="189">
        <f>SUM(L7:L20)</f>
        <v>0</v>
      </c>
      <c r="M21" s="187"/>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2:94" ht="18" x14ac:dyDescent="0.25">
      <c r="B22" s="499"/>
      <c r="C22" s="499"/>
      <c r="D22" s="11"/>
      <c r="E22" s="499"/>
      <c r="F22" s="188"/>
      <c r="I22" s="163"/>
      <c r="M22" s="187"/>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2:94" ht="10.5" customHeight="1" thickBot="1" x14ac:dyDescent="0.3">
      <c r="C23" s="23"/>
      <c r="M23" s="187"/>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2:94" s="14" customFormat="1" ht="18.75" thickBot="1" x14ac:dyDescent="0.3">
      <c r="B24" s="202" t="s">
        <v>451</v>
      </c>
      <c r="C24" s="99"/>
      <c r="D24" s="100"/>
      <c r="E24" s="100"/>
      <c r="F24" s="100"/>
      <c r="G24" s="101"/>
      <c r="H24" s="101"/>
      <c r="I24" s="101"/>
      <c r="J24" s="101"/>
      <c r="K24" s="101"/>
      <c r="L24" s="102"/>
      <c r="M24" s="187"/>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2:94" s="12" customFormat="1" ht="45.75" thickBot="1" x14ac:dyDescent="0.3">
      <c r="B25" s="215" t="s">
        <v>420</v>
      </c>
      <c r="C25" s="875" t="s">
        <v>421</v>
      </c>
      <c r="D25" s="876"/>
      <c r="E25" s="215" t="s">
        <v>423</v>
      </c>
      <c r="F25" s="545" t="s">
        <v>424</v>
      </c>
      <c r="G25" s="220" t="s">
        <v>452</v>
      </c>
      <c r="H25" s="220" t="s">
        <v>453</v>
      </c>
      <c r="I25" s="220" t="s">
        <v>454</v>
      </c>
      <c r="J25" s="220" t="s">
        <v>429</v>
      </c>
      <c r="K25" s="220" t="s">
        <v>455</v>
      </c>
      <c r="L25" s="220" t="s">
        <v>456</v>
      </c>
      <c r="M25" s="187"/>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2:94" ht="18" hidden="1" x14ac:dyDescent="0.25">
      <c r="B26" s="191" t="s">
        <v>457</v>
      </c>
      <c r="C26" s="878" t="s">
        <v>25</v>
      </c>
      <c r="D26" s="865"/>
      <c r="E26" s="195">
        <v>41275</v>
      </c>
      <c r="F26" s="552">
        <v>41639</v>
      </c>
      <c r="G26" s="198"/>
      <c r="H26" s="198">
        <v>0</v>
      </c>
      <c r="I26" s="198"/>
      <c r="J26" s="198">
        <f>G26-I26</f>
        <v>0</v>
      </c>
      <c r="K26" s="198">
        <v>0</v>
      </c>
      <c r="L26" s="198">
        <f t="shared" ref="L26:L27" si="13">J26</f>
        <v>0</v>
      </c>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2:94" ht="18" hidden="1" x14ac:dyDescent="0.25">
      <c r="B27" s="191" t="s">
        <v>458</v>
      </c>
      <c r="C27" s="878" t="s">
        <v>25</v>
      </c>
      <c r="D27" s="865"/>
      <c r="E27" s="195">
        <v>42736</v>
      </c>
      <c r="F27" s="552">
        <v>43100</v>
      </c>
      <c r="G27" s="198"/>
      <c r="H27" s="198">
        <v>0</v>
      </c>
      <c r="I27" s="198">
        <v>25000</v>
      </c>
      <c r="J27" s="198">
        <f>25000-I27</f>
        <v>0</v>
      </c>
      <c r="K27" s="198"/>
      <c r="L27" s="262">
        <f t="shared" si="13"/>
        <v>0</v>
      </c>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2:94" ht="18" hidden="1" x14ac:dyDescent="0.25">
      <c r="B28" s="191" t="s">
        <v>459</v>
      </c>
      <c r="C28" s="878" t="s">
        <v>25</v>
      </c>
      <c r="D28" s="865"/>
      <c r="E28" s="195">
        <v>43466</v>
      </c>
      <c r="F28" s="552">
        <v>43830</v>
      </c>
      <c r="G28" s="198"/>
      <c r="H28" s="198"/>
      <c r="I28" s="198"/>
      <c r="J28" s="198"/>
      <c r="K28" s="198"/>
      <c r="L28" s="465"/>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2:94" ht="18" hidden="1" x14ac:dyDescent="0.25">
      <c r="B29" s="494" t="s">
        <v>460</v>
      </c>
      <c r="C29" s="864" t="s">
        <v>25</v>
      </c>
      <c r="D29" s="865"/>
      <c r="E29" s="495">
        <v>43831</v>
      </c>
      <c r="F29" s="4">
        <v>44196</v>
      </c>
      <c r="G29" s="473"/>
      <c r="H29" s="211"/>
      <c r="I29" s="473"/>
      <c r="J29" s="211">
        <f>G29-I29</f>
        <v>0</v>
      </c>
      <c r="K29" s="473"/>
      <c r="L29" s="497">
        <f>J29</f>
        <v>0</v>
      </c>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2:94" ht="18" hidden="1" x14ac:dyDescent="0.25">
      <c r="B30" s="191"/>
      <c r="C30" s="864"/>
      <c r="D30" s="865"/>
      <c r="E30" s="195"/>
      <c r="F30" s="4"/>
      <c r="G30" s="198"/>
      <c r="H30" s="211"/>
      <c r="I30" s="198"/>
      <c r="J30" s="211"/>
      <c r="K30" s="198"/>
      <c r="L30" s="210"/>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2:94" ht="18" hidden="1" x14ac:dyDescent="0.25">
      <c r="B31" s="191" t="s">
        <v>461</v>
      </c>
      <c r="C31" s="864" t="s">
        <v>25</v>
      </c>
      <c r="D31" s="865"/>
      <c r="E31" s="195">
        <v>44105</v>
      </c>
      <c r="F31" s="4" t="s">
        <v>462</v>
      </c>
      <c r="G31" s="198"/>
      <c r="H31" s="211"/>
      <c r="I31" s="198"/>
      <c r="J31" s="211"/>
      <c r="K31" s="198"/>
      <c r="L31" s="210"/>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2:94" ht="18" hidden="1" x14ac:dyDescent="0.25">
      <c r="B32" s="191" t="s">
        <v>463</v>
      </c>
      <c r="C32" s="864" t="s">
        <v>25</v>
      </c>
      <c r="D32" s="865"/>
      <c r="E32" s="195">
        <v>44562</v>
      </c>
      <c r="F32" s="4">
        <v>44926</v>
      </c>
      <c r="G32" s="198"/>
      <c r="H32" s="211"/>
      <c r="I32" s="198"/>
      <c r="J32" s="211"/>
      <c r="K32" s="198"/>
      <c r="L32" s="210"/>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2:94" ht="18" hidden="1" x14ac:dyDescent="0.25">
      <c r="B33" s="191" t="s">
        <v>464</v>
      </c>
      <c r="C33" s="864" t="s">
        <v>25</v>
      </c>
      <c r="D33" s="865"/>
      <c r="E33" s="195">
        <v>44927</v>
      </c>
      <c r="F33" s="4">
        <v>45291</v>
      </c>
      <c r="G33" s="198"/>
      <c r="H33" s="211"/>
      <c r="I33" s="198"/>
      <c r="J33" s="211"/>
      <c r="K33" s="198"/>
      <c r="L33" s="210"/>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2:94" ht="18" x14ac:dyDescent="0.25">
      <c r="B34" s="191" t="s">
        <v>465</v>
      </c>
      <c r="C34" s="864" t="s">
        <v>466</v>
      </c>
      <c r="D34" s="865"/>
      <c r="E34" s="195">
        <v>45658</v>
      </c>
      <c r="F34" s="4">
        <v>46022</v>
      </c>
      <c r="G34" s="198">
        <v>25000</v>
      </c>
      <c r="H34" s="211">
        <f>G34</f>
        <v>25000</v>
      </c>
      <c r="I34" s="198">
        <v>16490.669999999998</v>
      </c>
      <c r="J34" s="211">
        <f>G34-I34</f>
        <v>8509.3300000000017</v>
      </c>
      <c r="K34" s="198"/>
      <c r="L34" s="210">
        <f>J34</f>
        <v>8509.3300000000017</v>
      </c>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2:94" ht="18" hidden="1" x14ac:dyDescent="0.25">
      <c r="B35" s="191" t="s">
        <v>467</v>
      </c>
      <c r="C35" s="864" t="s">
        <v>25</v>
      </c>
      <c r="D35" s="865"/>
      <c r="E35" s="195">
        <v>44743</v>
      </c>
      <c r="F35" s="4">
        <v>45107</v>
      </c>
      <c r="G35" s="198"/>
      <c r="H35" s="211"/>
      <c r="I35" s="198"/>
      <c r="J35" s="211"/>
      <c r="K35" s="198"/>
      <c r="L35" s="210"/>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2:94" ht="18" x14ac:dyDescent="0.25">
      <c r="B36" s="191" t="s">
        <v>468</v>
      </c>
      <c r="C36" s="864" t="s">
        <v>25</v>
      </c>
      <c r="D36" s="865"/>
      <c r="E36" s="195">
        <v>45658</v>
      </c>
      <c r="F36" s="4">
        <v>46022</v>
      </c>
      <c r="G36" s="198">
        <v>10000</v>
      </c>
      <c r="H36" s="211">
        <f>G36</f>
        <v>10000</v>
      </c>
      <c r="I36" s="198">
        <v>2814.43</v>
      </c>
      <c r="J36" s="211">
        <f>H36-I36</f>
        <v>7185.57</v>
      </c>
      <c r="K36" s="198"/>
      <c r="L36" s="210">
        <f t="shared" ref="L36" si="14">J36</f>
        <v>7185.57</v>
      </c>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2:94" ht="18" hidden="1" x14ac:dyDescent="0.25">
      <c r="B37" s="721" t="s">
        <v>467</v>
      </c>
      <c r="C37" s="879" t="s">
        <v>25</v>
      </c>
      <c r="D37" s="880"/>
      <c r="E37" s="722">
        <v>45108</v>
      </c>
      <c r="F37" s="723">
        <v>45473</v>
      </c>
      <c r="G37" s="724">
        <v>100000</v>
      </c>
      <c r="H37" s="725">
        <v>0</v>
      </c>
      <c r="I37" s="724">
        <v>0</v>
      </c>
      <c r="J37" s="725">
        <f>H37</f>
        <v>0</v>
      </c>
      <c r="K37" s="724"/>
      <c r="L37" s="726">
        <f t="shared" ref="L37" si="15">J37</f>
        <v>0</v>
      </c>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2:94" ht="18" hidden="1" x14ac:dyDescent="0.25">
      <c r="B38" s="191" t="s">
        <v>469</v>
      </c>
      <c r="C38" s="864" t="s">
        <v>26</v>
      </c>
      <c r="D38" s="865"/>
      <c r="E38" s="195">
        <v>44562</v>
      </c>
      <c r="F38" s="4">
        <v>45291</v>
      </c>
      <c r="G38" s="198"/>
      <c r="H38" s="211"/>
      <c r="I38" s="198"/>
      <c r="J38" s="211"/>
      <c r="K38" s="198"/>
      <c r="L38" s="210"/>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2:94" ht="18" hidden="1" x14ac:dyDescent="0.25">
      <c r="B39" s="191" t="s">
        <v>464</v>
      </c>
      <c r="C39" s="548" t="s">
        <v>470</v>
      </c>
      <c r="D39" s="499"/>
      <c r="E39" s="195">
        <v>44927</v>
      </c>
      <c r="F39" s="4">
        <v>45291</v>
      </c>
      <c r="G39" s="198"/>
      <c r="H39" s="198"/>
      <c r="I39" s="198"/>
      <c r="J39" s="198">
        <f>H39-I39</f>
        <v>0</v>
      </c>
      <c r="K39" s="210">
        <f>J39</f>
        <v>0</v>
      </c>
      <c r="L39" s="262"/>
      <c r="M39" s="554"/>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2:94" ht="18" x14ac:dyDescent="0.25">
      <c r="B40" s="191" t="s">
        <v>471</v>
      </c>
      <c r="C40" s="864" t="s">
        <v>26</v>
      </c>
      <c r="D40" s="865"/>
      <c r="E40" s="195">
        <v>45658</v>
      </c>
      <c r="F40" s="4">
        <v>46387</v>
      </c>
      <c r="G40" s="198">
        <v>175000</v>
      </c>
      <c r="H40" s="211">
        <v>55000</v>
      </c>
      <c r="I40" s="198">
        <f>H40/12*8</f>
        <v>36666.666666666664</v>
      </c>
      <c r="J40" s="211">
        <f>H40-I40</f>
        <v>18333.333333333336</v>
      </c>
      <c r="K40" s="210"/>
      <c r="L40" s="262">
        <f t="shared" ref="L40" si="16">J40</f>
        <v>18333.333333333336</v>
      </c>
      <c r="M40" s="211"/>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2:94" s="1" customFormat="1" ht="18" hidden="1" x14ac:dyDescent="0.25">
      <c r="B41" s="191" t="s">
        <v>472</v>
      </c>
      <c r="C41" s="862" t="s">
        <v>473</v>
      </c>
      <c r="D41" s="862"/>
      <c r="E41" s="195">
        <v>40226</v>
      </c>
      <c r="F41" s="3" t="s">
        <v>474</v>
      </c>
      <c r="G41" s="198">
        <f>8007.78+5000+50</f>
        <v>13057.779999999999</v>
      </c>
      <c r="H41" s="211">
        <v>0</v>
      </c>
      <c r="I41" s="198">
        <v>0</v>
      </c>
      <c r="J41" s="211">
        <f>+H41-I41</f>
        <v>0</v>
      </c>
      <c r="K41" s="198">
        <f>J41</f>
        <v>0</v>
      </c>
      <c r="L41" s="262">
        <v>0</v>
      </c>
      <c r="M41" s="19"/>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2:94" s="1" customFormat="1" ht="18" hidden="1" x14ac:dyDescent="0.25">
      <c r="B42" s="191" t="s">
        <v>475</v>
      </c>
      <c r="C42" s="862" t="s">
        <v>470</v>
      </c>
      <c r="D42" s="862"/>
      <c r="E42" s="195">
        <v>43770</v>
      </c>
      <c r="F42" s="4">
        <v>44196</v>
      </c>
      <c r="G42" s="198"/>
      <c r="H42" s="211"/>
      <c r="I42" s="198"/>
      <c r="J42" s="211"/>
      <c r="K42" s="198"/>
      <c r="L42" s="210"/>
      <c r="M42" s="19"/>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2:94" s="1" customFormat="1" ht="18" x14ac:dyDescent="0.25">
      <c r="B43" s="191" t="s">
        <v>465</v>
      </c>
      <c r="C43" s="864" t="s">
        <v>476</v>
      </c>
      <c r="D43" s="865"/>
      <c r="E43" s="195">
        <v>45658</v>
      </c>
      <c r="F43" s="4">
        <v>46022</v>
      </c>
      <c r="G43" s="198">
        <v>125000</v>
      </c>
      <c r="H43" s="211">
        <v>0</v>
      </c>
      <c r="I43" s="198">
        <v>90017.39</v>
      </c>
      <c r="J43" s="211">
        <f>125000-I43</f>
        <v>34982.61</v>
      </c>
      <c r="K43" s="198"/>
      <c r="L43" s="210">
        <f>J43</f>
        <v>34982.61</v>
      </c>
      <c r="M43" s="19"/>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2:94" s="1" customFormat="1" ht="18.75" thickBot="1" x14ac:dyDescent="0.3">
      <c r="B44" s="191" t="s">
        <v>477</v>
      </c>
      <c r="C44" s="864" t="s">
        <v>478</v>
      </c>
      <c r="D44" s="865"/>
      <c r="E44" s="195">
        <v>45566</v>
      </c>
      <c r="F44" s="4">
        <v>45930</v>
      </c>
      <c r="G44" s="198">
        <v>25000</v>
      </c>
      <c r="H44" s="211">
        <f>25000/2</f>
        <v>12500</v>
      </c>
      <c r="I44" s="198">
        <f>2083.33*6</f>
        <v>12499.98</v>
      </c>
      <c r="J44" s="211">
        <f>H44-I44</f>
        <v>2.0000000000436557E-2</v>
      </c>
      <c r="K44" s="198"/>
      <c r="L44" s="262">
        <f t="shared" ref="L44" si="17">J44</f>
        <v>2.0000000000436557E-2</v>
      </c>
      <c r="M44" s="19"/>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2:94" s="1" customFormat="1" ht="18.75" thickBot="1" x14ac:dyDescent="0.3">
      <c r="B45" s="191" t="s">
        <v>477</v>
      </c>
      <c r="C45" s="864" t="s">
        <v>478</v>
      </c>
      <c r="D45" s="865"/>
      <c r="E45" s="195">
        <v>45748</v>
      </c>
      <c r="F45" s="4">
        <v>45930</v>
      </c>
      <c r="G45" s="198">
        <v>25000</v>
      </c>
      <c r="H45" s="211">
        <v>0</v>
      </c>
      <c r="I45" s="198">
        <f>G45/6*5</f>
        <v>20833.333333333336</v>
      </c>
      <c r="J45" s="211">
        <f>G45-I45</f>
        <v>4166.6666666666642</v>
      </c>
      <c r="K45" s="198"/>
      <c r="L45" s="262">
        <f t="shared" ref="L45" si="18">J45</f>
        <v>4166.6666666666642</v>
      </c>
      <c r="M45" s="496" t="s">
        <v>479</v>
      </c>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row>
    <row r="46" spans="2:94" s="164" customFormat="1" ht="18.75" thickBot="1" x14ac:dyDescent="0.3">
      <c r="B46" s="190" t="s">
        <v>480</v>
      </c>
      <c r="C46" s="193"/>
      <c r="D46" s="193"/>
      <c r="E46" s="194"/>
      <c r="F46" s="194"/>
      <c r="G46" s="197">
        <f>SUM(G26:G45)</f>
        <v>498057.78</v>
      </c>
      <c r="H46" s="193">
        <f>SUM(H26:H45)</f>
        <v>102500</v>
      </c>
      <c r="I46" s="503">
        <f>SUM(I26:I45)</f>
        <v>204322.47000000003</v>
      </c>
      <c r="J46" s="590">
        <f>SUM(J26:J45)</f>
        <v>73177.53</v>
      </c>
      <c r="K46" s="200">
        <f>SUM(K26:K42)</f>
        <v>0</v>
      </c>
      <c r="L46" s="201">
        <f>SUM(L26:L45)</f>
        <v>73177.53</v>
      </c>
      <c r="M46" s="285">
        <f>L21+L46+0.02</f>
        <v>73177.55</v>
      </c>
      <c r="N46" s="19"/>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row>
    <row r="47" spans="2:94" ht="18.75" thickBot="1" x14ac:dyDescent="0.3">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row>
    <row r="48" spans="2:94" s="13" customFormat="1" ht="18.75" thickBot="1" x14ac:dyDescent="0.3">
      <c r="B48" s="202" t="s">
        <v>481</v>
      </c>
      <c r="C48" s="203"/>
      <c r="D48" s="204"/>
      <c r="E48" s="204"/>
      <c r="F48" s="204"/>
      <c r="G48" s="205"/>
      <c r="H48" s="205"/>
      <c r="I48" s="205"/>
      <c r="J48" s="205"/>
      <c r="K48" s="205"/>
      <c r="L48" s="207"/>
      <c r="M48" s="205"/>
      <c r="N48" s="20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row>
    <row r="49" spans="2:90" s="15" customFormat="1" ht="33.75" customHeight="1" thickBot="1" x14ac:dyDescent="0.3">
      <c r="B49" s="215" t="s">
        <v>482</v>
      </c>
      <c r="C49" s="875" t="s">
        <v>221</v>
      </c>
      <c r="D49" s="876"/>
      <c r="E49" s="876"/>
      <c r="F49" s="877"/>
      <c r="G49" s="219" t="s">
        <v>483</v>
      </c>
      <c r="H49" s="168" t="s">
        <v>453</v>
      </c>
      <c r="I49" s="168" t="s">
        <v>484</v>
      </c>
      <c r="J49" s="168" t="s">
        <v>485</v>
      </c>
      <c r="K49" s="168" t="s">
        <v>454</v>
      </c>
      <c r="L49" s="168" t="s">
        <v>486</v>
      </c>
      <c r="M49" s="168" t="s">
        <v>487</v>
      </c>
      <c r="N49" s="168" t="s">
        <v>456</v>
      </c>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row>
    <row r="50" spans="2:90" ht="18" hidden="1" x14ac:dyDescent="0.25">
      <c r="B50" s="191" t="s">
        <v>488</v>
      </c>
      <c r="C50" s="498" t="s">
        <v>489</v>
      </c>
      <c r="D50" s="499"/>
      <c r="E50" s="499"/>
      <c r="F50" s="500"/>
      <c r="G50" s="198"/>
      <c r="H50" s="198"/>
      <c r="I50" s="198"/>
      <c r="J50" s="198"/>
      <c r="K50" s="210"/>
      <c r="L50" s="262"/>
      <c r="M50" s="198">
        <f t="shared" ref="M50:M54" si="19">L50</f>
        <v>0</v>
      </c>
      <c r="N50" s="19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row>
    <row r="51" spans="2:90" ht="18" hidden="1" x14ac:dyDescent="0.25">
      <c r="B51" s="191" t="s">
        <v>490</v>
      </c>
      <c r="C51" s="498" t="s">
        <v>491</v>
      </c>
      <c r="D51" s="499"/>
      <c r="E51" s="499"/>
      <c r="F51" s="500"/>
      <c r="G51" s="198"/>
      <c r="H51" s="198"/>
      <c r="I51" s="198"/>
      <c r="J51" s="198"/>
      <c r="K51" s="210"/>
      <c r="L51" s="262"/>
      <c r="M51" s="198">
        <f t="shared" si="19"/>
        <v>0</v>
      </c>
      <c r="N51" s="19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row>
    <row r="52" spans="2:90" ht="18" x14ac:dyDescent="0.25">
      <c r="B52" s="191" t="s">
        <v>492</v>
      </c>
      <c r="C52" s="498" t="s">
        <v>493</v>
      </c>
      <c r="D52" s="499"/>
      <c r="E52" s="499"/>
      <c r="F52" s="500"/>
      <c r="G52" s="198">
        <v>52000</v>
      </c>
      <c r="H52" s="198">
        <v>0</v>
      </c>
      <c r="I52" s="198">
        <v>52000</v>
      </c>
      <c r="J52" s="198">
        <f>'August''25 AR Aging'!H9</f>
        <v>0</v>
      </c>
      <c r="K52" s="210">
        <f>G52/12*8</f>
        <v>34666.666666666664</v>
      </c>
      <c r="L52" s="262">
        <f>H52+I52-K52+J52</f>
        <v>17333.333333333336</v>
      </c>
      <c r="M52" s="198">
        <f t="shared" si="19"/>
        <v>17333.333333333336</v>
      </c>
      <c r="N52" s="19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row>
    <row r="53" spans="2:90" ht="18" hidden="1" x14ac:dyDescent="0.25">
      <c r="B53" s="191" t="s">
        <v>494</v>
      </c>
      <c r="C53" s="861" t="s">
        <v>495</v>
      </c>
      <c r="D53" s="862"/>
      <c r="E53" s="862"/>
      <c r="F53" s="863"/>
      <c r="G53" s="198"/>
      <c r="H53" s="198"/>
      <c r="I53" s="198"/>
      <c r="J53" s="198"/>
      <c r="K53" s="621"/>
      <c r="L53" s="262"/>
      <c r="M53" s="198">
        <f t="shared" si="19"/>
        <v>0</v>
      </c>
      <c r="N53" s="19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row>
    <row r="54" spans="2:90" ht="18" x14ac:dyDescent="0.25">
      <c r="B54" s="191" t="s">
        <v>496</v>
      </c>
      <c r="C54" s="861" t="s">
        <v>497</v>
      </c>
      <c r="D54" s="862"/>
      <c r="E54" s="862"/>
      <c r="F54" s="863"/>
      <c r="G54" s="198">
        <v>17500</v>
      </c>
      <c r="H54" s="211"/>
      <c r="I54" s="198">
        <v>0</v>
      </c>
      <c r="J54" s="198">
        <f>'August''25 AR Aging'!H39</f>
        <v>7500</v>
      </c>
      <c r="K54" s="210">
        <v>11666.64</v>
      </c>
      <c r="L54" s="262">
        <f>G54-K54</f>
        <v>5833.3600000000006</v>
      </c>
      <c r="M54" s="198">
        <f t="shared" si="19"/>
        <v>5833.3600000000006</v>
      </c>
      <c r="N54" s="19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row>
    <row r="55" spans="2:90" ht="18" x14ac:dyDescent="0.25">
      <c r="B55" s="191" t="s">
        <v>498</v>
      </c>
      <c r="C55" s="498" t="s">
        <v>499</v>
      </c>
      <c r="D55" s="499"/>
      <c r="E55" s="499"/>
      <c r="F55" s="500"/>
      <c r="G55" s="198">
        <v>20000</v>
      </c>
      <c r="I55" s="198"/>
      <c r="J55" s="198">
        <f>'August''25 AR Aging'!H18</f>
        <v>15950</v>
      </c>
      <c r="K55" s="198">
        <v>15950</v>
      </c>
      <c r="L55" s="262">
        <f>G55-K55</f>
        <v>4050</v>
      </c>
      <c r="M55" s="198"/>
      <c r="N55" s="19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row>
    <row r="56" spans="2:90" ht="21" customHeight="1" x14ac:dyDescent="0.25">
      <c r="B56" s="191" t="s">
        <v>828</v>
      </c>
      <c r="C56" s="191" t="s">
        <v>499</v>
      </c>
      <c r="D56" s="498"/>
      <c r="E56" s="499"/>
      <c r="F56" s="499"/>
      <c r="G56" s="198">
        <v>5000</v>
      </c>
      <c r="H56" s="198"/>
      <c r="J56" s="779">
        <f>'August''25 AR Aging'!D25</f>
        <v>2500</v>
      </c>
      <c r="K56" s="198">
        <v>2500</v>
      </c>
      <c r="L56" s="262">
        <f>G56-K56</f>
        <v>2500</v>
      </c>
      <c r="M56" s="262"/>
      <c r="N56" s="19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row>
    <row r="57" spans="2:90" ht="21" customHeight="1" x14ac:dyDescent="0.25">
      <c r="B57" s="191" t="s">
        <v>827</v>
      </c>
      <c r="C57" s="191" t="s">
        <v>499</v>
      </c>
      <c r="D57" s="498"/>
      <c r="E57" s="499"/>
      <c r="F57" s="499"/>
      <c r="G57" s="198">
        <v>5000</v>
      </c>
      <c r="H57" s="198"/>
      <c r="J57" s="779">
        <f>'August''25 AR Aging'!D26</f>
        <v>0</v>
      </c>
      <c r="K57" s="198">
        <v>2500</v>
      </c>
      <c r="L57" s="262">
        <f>G57-K57</f>
        <v>2500</v>
      </c>
      <c r="M57" s="262"/>
      <c r="N57" s="19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row>
    <row r="58" spans="2:90" ht="18" x14ac:dyDescent="0.25">
      <c r="B58" s="191" t="s">
        <v>500</v>
      </c>
      <c r="C58" s="861" t="s">
        <v>501</v>
      </c>
      <c r="D58" s="862"/>
      <c r="E58" s="862"/>
      <c r="F58" s="863"/>
      <c r="G58" s="198"/>
      <c r="H58" s="198"/>
      <c r="I58" s="198">
        <f>K58</f>
        <v>10108.5</v>
      </c>
      <c r="J58" s="198"/>
      <c r="K58" s="210">
        <v>10108.5</v>
      </c>
      <c r="L58" s="262">
        <f>I58-K58</f>
        <v>0</v>
      </c>
      <c r="M58" s="198">
        <v>0</v>
      </c>
      <c r="N58" s="198">
        <v>0</v>
      </c>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row>
    <row r="59" spans="2:90" ht="18" x14ac:dyDescent="0.25">
      <c r="B59" s="191" t="s">
        <v>502</v>
      </c>
      <c r="C59" s="498" t="s">
        <v>503</v>
      </c>
      <c r="D59" s="499"/>
      <c r="E59" s="499"/>
      <c r="F59" s="500"/>
      <c r="G59" s="198"/>
      <c r="H59" s="198"/>
      <c r="I59" s="210">
        <v>9941.6</v>
      </c>
      <c r="J59" s="198">
        <f>'August''25 AR Aging'!E45+'August''25 AR Aging'!D46</f>
        <v>6200</v>
      </c>
      <c r="K59" s="210"/>
      <c r="L59" s="262">
        <f>I59-K59</f>
        <v>9941.6</v>
      </c>
      <c r="M59" s="198"/>
      <c r="N59" s="19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row>
    <row r="60" spans="2:90" ht="18" x14ac:dyDescent="0.25">
      <c r="B60" s="191" t="s">
        <v>500</v>
      </c>
      <c r="C60" s="861" t="s">
        <v>504</v>
      </c>
      <c r="D60" s="862"/>
      <c r="E60" s="862"/>
      <c r="F60" s="863"/>
      <c r="G60" s="198"/>
      <c r="H60" s="198">
        <f>12884.29+675.96+1056</f>
        <v>14616.25</v>
      </c>
      <c r="I60" s="198">
        <v>3000</v>
      </c>
      <c r="J60" s="198"/>
      <c r="K60" s="210">
        <f>1000+778.71+310.49+1012.75+301.95+1000</f>
        <v>4403.8999999999996</v>
      </c>
      <c r="L60" s="262">
        <f>H60+I60-K60</f>
        <v>13212.35</v>
      </c>
      <c r="M60" s="198">
        <f>L60</f>
        <v>13212.35</v>
      </c>
      <c r="N60" s="198">
        <v>0</v>
      </c>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row>
    <row r="61" spans="2:90" ht="18" x14ac:dyDescent="0.25">
      <c r="B61" s="191" t="s">
        <v>500</v>
      </c>
      <c r="C61" s="861" t="s">
        <v>505</v>
      </c>
      <c r="D61" s="862"/>
      <c r="E61" s="862"/>
      <c r="F61" s="863"/>
      <c r="G61" s="198"/>
      <c r="H61" s="198">
        <v>8546.7800000000007</v>
      </c>
      <c r="I61" s="198">
        <v>2500</v>
      </c>
      <c r="J61" s="198"/>
      <c r="K61" s="210">
        <v>1004.54</v>
      </c>
      <c r="L61" s="262">
        <f>H61+I61-K61</f>
        <v>10042.240000000002</v>
      </c>
      <c r="M61" s="198">
        <f>L61</f>
        <v>10042.240000000002</v>
      </c>
      <c r="N61" s="198">
        <v>0</v>
      </c>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row>
    <row r="62" spans="2:90" s="17" customFormat="1" ht="18" x14ac:dyDescent="0.25">
      <c r="B62" s="191" t="s">
        <v>20</v>
      </c>
      <c r="C62" s="867" t="s">
        <v>506</v>
      </c>
      <c r="D62" s="868"/>
      <c r="E62" s="868"/>
      <c r="F62" s="869"/>
      <c r="G62" s="198">
        <v>50000</v>
      </c>
      <c r="H62" s="198">
        <v>0</v>
      </c>
      <c r="I62" s="198">
        <v>50000</v>
      </c>
      <c r="J62" s="198">
        <v>0</v>
      </c>
      <c r="K62" s="210">
        <f>G62/12*3</f>
        <v>12500</v>
      </c>
      <c r="L62" s="262">
        <f>I62-K62</f>
        <v>37500</v>
      </c>
      <c r="M62" s="198">
        <f>L62</f>
        <v>37500</v>
      </c>
      <c r="N62" s="19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row>
    <row r="63" spans="2:90" s="17" customFormat="1" ht="18" hidden="1" x14ac:dyDescent="0.25">
      <c r="B63" s="191" t="s">
        <v>500</v>
      </c>
      <c r="C63" s="498"/>
      <c r="D63" s="499"/>
      <c r="E63" s="499"/>
      <c r="F63" s="500"/>
      <c r="G63" s="198"/>
      <c r="H63" s="198"/>
      <c r="I63" s="198"/>
      <c r="J63" s="198"/>
      <c r="K63" s="198"/>
      <c r="L63" s="198"/>
      <c r="M63" s="198"/>
      <c r="N63" s="19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row>
    <row r="64" spans="2:90" ht="15" customHeight="1" thickBot="1" x14ac:dyDescent="0.3">
      <c r="B64" s="192"/>
      <c r="C64" s="861"/>
      <c r="D64" s="862"/>
      <c r="E64" s="862"/>
      <c r="F64" s="863"/>
      <c r="G64" s="199"/>
      <c r="H64" s="199"/>
      <c r="I64" s="199"/>
      <c r="J64" s="206"/>
      <c r="K64" s="199"/>
      <c r="L64" s="199"/>
      <c r="M64" s="199"/>
      <c r="N64" s="199">
        <v>0</v>
      </c>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row>
    <row r="65" spans="2:90" s="164" customFormat="1" ht="18.75" thickBot="1" x14ac:dyDescent="0.3">
      <c r="B65" s="216" t="s">
        <v>507</v>
      </c>
      <c r="C65" s="217"/>
      <c r="D65" s="217"/>
      <c r="E65" s="217"/>
      <c r="F65" s="218"/>
      <c r="G65" s="255">
        <f t="shared" ref="G65:N65" si="20">SUM(G50:G64)</f>
        <v>149500</v>
      </c>
      <c r="H65" s="256">
        <f t="shared" si="20"/>
        <v>23163.03</v>
      </c>
      <c r="I65" s="256">
        <f t="shared" si="20"/>
        <v>127550.1</v>
      </c>
      <c r="J65" s="256">
        <f t="shared" si="20"/>
        <v>32150</v>
      </c>
      <c r="K65" s="256">
        <f t="shared" si="20"/>
        <v>95300.246666666659</v>
      </c>
      <c r="L65" s="257">
        <f t="shared" si="20"/>
        <v>102912.88333333333</v>
      </c>
      <c r="M65" s="258">
        <f t="shared" si="20"/>
        <v>83921.28333333334</v>
      </c>
      <c r="N65" s="257">
        <f t="shared" si="20"/>
        <v>0</v>
      </c>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row>
    <row r="66" spans="2:90" ht="18.75" thickBot="1" x14ac:dyDescent="0.3">
      <c r="M66" s="442" t="s">
        <v>508</v>
      </c>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row>
    <row r="67" spans="2:90" s="26" customFormat="1" ht="18.75" thickBot="1" x14ac:dyDescent="0.3">
      <c r="B67" s="29"/>
      <c r="C67" s="30"/>
      <c r="D67" s="30"/>
      <c r="E67" s="30"/>
      <c r="F67" s="30"/>
      <c r="G67" s="30"/>
      <c r="H67" s="30"/>
      <c r="I67" s="30"/>
      <c r="J67" s="30"/>
      <c r="K67" s="30"/>
      <c r="L67" s="30"/>
      <c r="M67" s="327">
        <f>M65+K46</f>
        <v>83921.28333333334</v>
      </c>
      <c r="N67" s="43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row>
    <row r="68" spans="2:90" s="28" customFormat="1" ht="31.5" hidden="1" x14ac:dyDescent="0.25">
      <c r="B68" s="31"/>
      <c r="C68" s="27"/>
      <c r="D68" s="27"/>
      <c r="E68" s="27"/>
      <c r="F68" s="27"/>
      <c r="G68" s="27"/>
      <c r="H68" s="93" t="s">
        <v>509</v>
      </c>
      <c r="I68" s="94" t="s">
        <v>484</v>
      </c>
      <c r="J68" s="94" t="s">
        <v>510</v>
      </c>
      <c r="K68" s="94" t="s">
        <v>511</v>
      </c>
      <c r="L68" s="95" t="s">
        <v>512</v>
      </c>
      <c r="M68" s="21"/>
      <c r="N68" s="21"/>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row>
    <row r="69" spans="2:90" s="22" customFormat="1" ht="20.25" hidden="1" customHeight="1" x14ac:dyDescent="0.25">
      <c r="B69" s="228" t="s">
        <v>281</v>
      </c>
      <c r="C69" s="871" t="s">
        <v>513</v>
      </c>
      <c r="D69" s="871"/>
      <c r="E69" s="871"/>
      <c r="F69" s="871"/>
      <c r="G69" s="229"/>
      <c r="H69" s="229" t="e">
        <f>104647.76-#REF!-1250-1250</f>
        <v>#REF!</v>
      </c>
      <c r="I69" s="229">
        <f>90450.47-K69-I72</f>
        <v>48072.49</v>
      </c>
      <c r="J69" s="229">
        <f>I58</f>
        <v>10108.5</v>
      </c>
      <c r="K69" s="229">
        <f>'December''24 AR Aging '!H40</f>
        <v>42377.98</v>
      </c>
      <c r="L69" s="230" t="e">
        <f>+J69+K69+I69-H69</f>
        <v>#REF!</v>
      </c>
      <c r="M69" s="25"/>
      <c r="N69" s="25"/>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row>
    <row r="70" spans="2:90" s="17" customFormat="1" ht="18" hidden="1" x14ac:dyDescent="0.25">
      <c r="B70" s="231" t="s">
        <v>70</v>
      </c>
      <c r="C70" s="870" t="s">
        <v>514</v>
      </c>
      <c r="D70" s="870"/>
      <c r="E70" s="870"/>
      <c r="F70" s="870"/>
      <c r="G70" s="226"/>
      <c r="H70" s="226"/>
      <c r="I70" s="226">
        <v>0</v>
      </c>
      <c r="J70" s="227"/>
      <c r="K70" s="226">
        <v>0</v>
      </c>
      <c r="L70" s="232"/>
      <c r="M70" s="211"/>
      <c r="N70" s="211">
        <v>0</v>
      </c>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row>
    <row r="71" spans="2:90" ht="18" hidden="1" x14ac:dyDescent="0.25">
      <c r="B71" s="231" t="s">
        <v>500</v>
      </c>
      <c r="C71" s="872" t="s">
        <v>515</v>
      </c>
      <c r="D71" s="873"/>
      <c r="E71" s="873"/>
      <c r="F71" s="874"/>
      <c r="G71" s="226"/>
      <c r="H71" s="226"/>
      <c r="I71" s="226"/>
      <c r="J71" s="227"/>
      <c r="K71" s="226"/>
      <c r="L71" s="232"/>
      <c r="M71" s="211"/>
      <c r="N71" s="211"/>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row>
    <row r="72" spans="2:90" ht="18.75" hidden="1" thickBot="1" x14ac:dyDescent="0.3">
      <c r="B72" s="233" t="s">
        <v>516</v>
      </c>
      <c r="C72" s="866" t="s">
        <v>513</v>
      </c>
      <c r="D72" s="866"/>
      <c r="E72" s="866"/>
      <c r="F72" s="866"/>
      <c r="G72" s="234"/>
      <c r="H72" s="234"/>
      <c r="I72" s="234">
        <v>0</v>
      </c>
      <c r="J72" s="234"/>
      <c r="K72" s="234"/>
      <c r="L72" s="235"/>
      <c r="M72" s="25"/>
      <c r="N72" s="25"/>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row>
    <row r="73" spans="2:90" ht="18" hidden="1" x14ac:dyDescent="0.25">
      <c r="G73" s="147"/>
      <c r="H73" s="147"/>
      <c r="I73" s="147"/>
      <c r="J73" s="147"/>
      <c r="K73" s="147">
        <f>K69+J65+I21+K72</f>
        <v>272878.55000000005</v>
      </c>
      <c r="L73" s="147" t="s">
        <v>517</v>
      </c>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row>
    <row r="74" spans="2:90" ht="18" hidden="1" x14ac:dyDescent="0.25">
      <c r="G74" s="147"/>
      <c r="H74" s="147"/>
      <c r="I74" s="147"/>
      <c r="J74" s="147"/>
      <c r="K74" s="141">
        <f>'December''24 AR Aging '!H89</f>
        <v>282364.40000000002</v>
      </c>
      <c r="L74" s="147" t="s">
        <v>518</v>
      </c>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row>
    <row r="75" spans="2:90" ht="15" hidden="1" customHeight="1" thickBot="1" x14ac:dyDescent="0.3">
      <c r="G75" s="147"/>
      <c r="H75" s="147"/>
      <c r="I75" s="147"/>
      <c r="J75" s="147"/>
      <c r="K75" s="457">
        <f>K74-K73</f>
        <v>9485.8499999999767</v>
      </c>
      <c r="L75" s="147" t="s">
        <v>519</v>
      </c>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row>
    <row r="76" spans="2:90" ht="18" x14ac:dyDescent="0.25">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row>
    <row r="77" spans="2:90" ht="18" x14ac:dyDescent="0.25">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row>
    <row r="78" spans="2:90" ht="18" x14ac:dyDescent="0.25">
      <c r="J78" s="780">
        <f>I21+J65</f>
        <v>230500.57</v>
      </c>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row>
    <row r="79" spans="2:90" ht="18" x14ac:dyDescent="0.25">
      <c r="J79" s="780">
        <v>52872</v>
      </c>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row>
    <row r="80" spans="2:90" ht="18" x14ac:dyDescent="0.25">
      <c r="J80" s="780">
        <f>J78+J79</f>
        <v>283372.57</v>
      </c>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row>
    <row r="81" spans="8:90" ht="18" x14ac:dyDescent="0.25">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row>
    <row r="82" spans="8:90" ht="18" x14ac:dyDescent="0.25">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row>
    <row r="83" spans="8:90" ht="18" x14ac:dyDescent="0.25">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row>
    <row r="84" spans="8:90" ht="18" x14ac:dyDescent="0.25">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row>
    <row r="85" spans="8:90" ht="18" hidden="1" x14ac:dyDescent="0.25">
      <c r="H85" s="19" t="s">
        <v>520</v>
      </c>
      <c r="I85" s="19">
        <f>I21</f>
        <v>198350.57</v>
      </c>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row>
    <row r="86" spans="8:90" ht="18" hidden="1" x14ac:dyDescent="0.25">
      <c r="H86" s="19" t="s">
        <v>521</v>
      </c>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row>
    <row r="87" spans="8:90" ht="18" hidden="1" x14ac:dyDescent="0.25">
      <c r="H87" s="19" t="s">
        <v>522</v>
      </c>
      <c r="I87" s="19">
        <v>90</v>
      </c>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row>
    <row r="88" spans="8:90" ht="18" hidden="1" x14ac:dyDescent="0.25">
      <c r="H88" s="19" t="s">
        <v>523</v>
      </c>
      <c r="I88" s="19">
        <f>'December''24 AR Aging '!H13</f>
        <v>1250</v>
      </c>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row>
    <row r="89" spans="8:90" ht="18" hidden="1" x14ac:dyDescent="0.25">
      <c r="H89" s="19" t="s">
        <v>524</v>
      </c>
      <c r="I89" s="19">
        <f>'December''24 AR Aging '!H35</f>
        <v>25000</v>
      </c>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row>
    <row r="90" spans="8:90" ht="18" hidden="1" x14ac:dyDescent="0.25">
      <c r="H90" s="19" t="s">
        <v>525</v>
      </c>
      <c r="I90" s="19">
        <f>'December''24 AR Aging '!H40</f>
        <v>42377.98</v>
      </c>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row>
    <row r="91" spans="8:90" ht="18" hidden="1" x14ac:dyDescent="0.25">
      <c r="H91" s="619" t="s">
        <v>526</v>
      </c>
      <c r="I91" s="619">
        <f>SUM(I85:I90)</f>
        <v>267068.55</v>
      </c>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row>
    <row r="92" spans="8:90" ht="18" x14ac:dyDescent="0.25">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row>
    <row r="93" spans="8:90" ht="18" x14ac:dyDescent="0.25">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row>
    <row r="94" spans="8:90" ht="18" x14ac:dyDescent="0.25">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row>
    <row r="95" spans="8:90" ht="18" x14ac:dyDescent="0.25">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row>
    <row r="96" spans="8:90" ht="18" x14ac:dyDescent="0.25">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row>
    <row r="97" spans="15:90" ht="18" x14ac:dyDescent="0.25">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row>
    <row r="98" spans="15:90" ht="18" x14ac:dyDescent="0.25">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row>
    <row r="99" spans="15:90" ht="18" x14ac:dyDescent="0.25">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row>
    <row r="100" spans="15:90" ht="18" x14ac:dyDescent="0.25">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row>
    <row r="101" spans="15:90" ht="18" x14ac:dyDescent="0.25">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row>
    <row r="102" spans="15:90" ht="18" x14ac:dyDescent="0.25">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row>
    <row r="103" spans="15:90" ht="18" x14ac:dyDescent="0.25">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row>
    <row r="104" spans="15:90" ht="18" x14ac:dyDescent="0.25">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row>
    <row r="105" spans="15:90" ht="18" x14ac:dyDescent="0.25">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row>
    <row r="106" spans="15:90" ht="18" x14ac:dyDescent="0.25">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row>
    <row r="107" spans="15:90" ht="18" x14ac:dyDescent="0.25">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row>
    <row r="108" spans="15:90" ht="18" x14ac:dyDescent="0.25">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row>
    <row r="109" spans="15:90" ht="18" x14ac:dyDescent="0.25">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row>
    <row r="110" spans="15:90" ht="18" x14ac:dyDescent="0.25">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row>
    <row r="111" spans="15:90" ht="18" x14ac:dyDescent="0.25">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row>
    <row r="112" spans="15:90" ht="18" x14ac:dyDescent="0.25">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row>
    <row r="113" spans="15:90" ht="18" x14ac:dyDescent="0.25">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row>
    <row r="114" spans="15:90" ht="18" x14ac:dyDescent="0.25">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row>
    <row r="115" spans="15:90" ht="18" x14ac:dyDescent="0.25">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row>
    <row r="116" spans="15:90" ht="18" x14ac:dyDescent="0.25">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row>
    <row r="117" spans="15:90" ht="18" x14ac:dyDescent="0.25">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row>
    <row r="118" spans="15:90" ht="18" x14ac:dyDescent="0.25">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row>
    <row r="119" spans="15:90" ht="18" x14ac:dyDescent="0.25">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row>
    <row r="120" spans="15:90" ht="18" x14ac:dyDescent="0.25">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row>
    <row r="121" spans="15:90" ht="18" x14ac:dyDescent="0.25">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row>
    <row r="122" spans="15:90" ht="18" x14ac:dyDescent="0.25">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row>
    <row r="123" spans="15:90" ht="18" x14ac:dyDescent="0.25">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row>
    <row r="124" spans="15:90" ht="18" x14ac:dyDescent="0.25">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row>
    <row r="125" spans="15:90" ht="18" x14ac:dyDescent="0.25">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row>
    <row r="126" spans="15:90" ht="18" x14ac:dyDescent="0.25">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row>
    <row r="127" spans="15:90" ht="18" x14ac:dyDescent="0.25">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row>
    <row r="128" spans="15:90" ht="18" x14ac:dyDescent="0.25">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row>
    <row r="129" spans="15:90" ht="18" x14ac:dyDescent="0.25">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row>
    <row r="130" spans="15:90" ht="18" x14ac:dyDescent="0.25">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row>
    <row r="131" spans="15:90" ht="18" x14ac:dyDescent="0.25">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row>
    <row r="132" spans="15:90" ht="18" x14ac:dyDescent="0.25">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row>
    <row r="133" spans="15:90" ht="18" x14ac:dyDescent="0.25">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row>
    <row r="134" spans="15:90" ht="18" x14ac:dyDescent="0.25">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row>
    <row r="135" spans="15:90" ht="18" x14ac:dyDescent="0.25">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row>
    <row r="136" spans="15:90" ht="18" x14ac:dyDescent="0.25">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row>
    <row r="137" spans="15:90" ht="18" x14ac:dyDescent="0.25">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row>
    <row r="138" spans="15:90" ht="18" x14ac:dyDescent="0.25">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row>
    <row r="139" spans="15:90" ht="18" x14ac:dyDescent="0.25">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row>
    <row r="140" spans="15:90" ht="18" x14ac:dyDescent="0.25">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row>
    <row r="141" spans="15:90" ht="18" x14ac:dyDescent="0.25">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row>
    <row r="142" spans="15:90" ht="18" x14ac:dyDescent="0.25">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row>
    <row r="143" spans="15:90" ht="18" x14ac:dyDescent="0.25">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row>
    <row r="144" spans="15:90" ht="18" x14ac:dyDescent="0.25">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row>
    <row r="145" spans="15:90" ht="18" x14ac:dyDescent="0.25">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row>
    <row r="146" spans="15:90" ht="18" x14ac:dyDescent="0.25">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row>
    <row r="147" spans="15:90" ht="18" x14ac:dyDescent="0.25">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row>
    <row r="148" spans="15:90" ht="18" x14ac:dyDescent="0.25">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row>
    <row r="149" spans="15:90" ht="18" x14ac:dyDescent="0.25">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row>
    <row r="150" spans="15:90" ht="18" x14ac:dyDescent="0.25">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row>
    <row r="151" spans="15:90" ht="18" x14ac:dyDescent="0.25">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row>
    <row r="152" spans="15:90" ht="18" x14ac:dyDescent="0.25">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row>
    <row r="153" spans="15:90" ht="18" x14ac:dyDescent="0.25">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row>
    <row r="154" spans="15:90" ht="18" x14ac:dyDescent="0.25">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row>
    <row r="155" spans="15:90" ht="18" x14ac:dyDescent="0.25">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row>
    <row r="156" spans="15:90" ht="18" x14ac:dyDescent="0.25">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row>
    <row r="157" spans="15:90" ht="18" x14ac:dyDescent="0.25">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row>
    <row r="158" spans="15:90" ht="18" x14ac:dyDescent="0.25">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row>
    <row r="159" spans="15:90" ht="18" x14ac:dyDescent="0.25">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row>
    <row r="160" spans="15:90" ht="18" x14ac:dyDescent="0.25">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row>
    <row r="161" spans="15:90" ht="18" x14ac:dyDescent="0.25">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row>
    <row r="162" spans="15:90" ht="18" x14ac:dyDescent="0.25">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row>
    <row r="163" spans="15:90" ht="18" x14ac:dyDescent="0.25">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row>
    <row r="164" spans="15:90" ht="18" x14ac:dyDescent="0.25">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row>
    <row r="165" spans="15:90" ht="18" x14ac:dyDescent="0.25">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row>
    <row r="166" spans="15:90" ht="18" x14ac:dyDescent="0.25">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row>
    <row r="167" spans="15:90" ht="18" x14ac:dyDescent="0.25">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row>
    <row r="168" spans="15:90" ht="18" x14ac:dyDescent="0.25">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row>
    <row r="169" spans="15:90" ht="18" x14ac:dyDescent="0.25">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row>
    <row r="170" spans="15:90" ht="18" x14ac:dyDescent="0.25">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row>
    <row r="171" spans="15:90" ht="18" x14ac:dyDescent="0.25">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row>
    <row r="172" spans="15:90" ht="18" x14ac:dyDescent="0.25">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row>
    <row r="173" spans="15:90" ht="18" x14ac:dyDescent="0.25">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row>
    <row r="174" spans="15:90" ht="18" x14ac:dyDescent="0.25">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row>
    <row r="175" spans="15:90" ht="18" x14ac:dyDescent="0.25">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row>
    <row r="176" spans="15:90" ht="18" x14ac:dyDescent="0.25">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row>
    <row r="177" spans="15:90" ht="18" x14ac:dyDescent="0.25">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row>
    <row r="178" spans="15:90" ht="18" x14ac:dyDescent="0.25">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row>
    <row r="179" spans="15:90" ht="18" x14ac:dyDescent="0.25">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row>
    <row r="180" spans="15:90" ht="18" x14ac:dyDescent="0.25">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row>
    <row r="181" spans="15:90" ht="18" x14ac:dyDescent="0.25">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row>
    <row r="182" spans="15:90" ht="18" x14ac:dyDescent="0.25">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row>
    <row r="183" spans="15:90" ht="18" x14ac:dyDescent="0.25">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row>
    <row r="184" spans="15:90" ht="18" x14ac:dyDescent="0.25">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row>
    <row r="185" spans="15:90" ht="18" x14ac:dyDescent="0.25">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row>
    <row r="186" spans="15:90" ht="18" x14ac:dyDescent="0.25">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row>
    <row r="187" spans="15:90" ht="18" x14ac:dyDescent="0.25">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row>
    <row r="188" spans="15:90" ht="18" x14ac:dyDescent="0.25">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row>
    <row r="189" spans="15:90" ht="18" x14ac:dyDescent="0.25">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row>
    <row r="190" spans="15:90" ht="18" x14ac:dyDescent="0.25">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row>
    <row r="191" spans="15:90" ht="18" x14ac:dyDescent="0.25">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row>
    <row r="192" spans="15:90" ht="18" x14ac:dyDescent="0.25">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row>
    <row r="193" spans="15:90" ht="18" x14ac:dyDescent="0.25">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row>
    <row r="194" spans="15:90" ht="18" x14ac:dyDescent="0.25">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row>
    <row r="195" spans="15:90" ht="18" x14ac:dyDescent="0.25">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row>
    <row r="196" spans="15:90" ht="18" x14ac:dyDescent="0.25">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row>
    <row r="197" spans="15:90" ht="18" x14ac:dyDescent="0.25">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row>
    <row r="198" spans="15:90" ht="18" x14ac:dyDescent="0.25">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row>
    <row r="199" spans="15:90" ht="18" x14ac:dyDescent="0.25">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row>
    <row r="200" spans="15:90" ht="18" x14ac:dyDescent="0.25">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row>
    <row r="201" spans="15:90" ht="18" x14ac:dyDescent="0.25">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row>
    <row r="202" spans="15:90" ht="18" x14ac:dyDescent="0.25">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row>
    <row r="203" spans="15:90" ht="18" x14ac:dyDescent="0.25">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row>
    <row r="204" spans="15:90" ht="18" x14ac:dyDescent="0.25">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row>
    <row r="205" spans="15:90" ht="18" x14ac:dyDescent="0.25">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row>
    <row r="206" spans="15:90" ht="18" x14ac:dyDescent="0.25">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row>
    <row r="207" spans="15:90" ht="18" x14ac:dyDescent="0.25">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row>
    <row r="208" spans="15:90" ht="18" x14ac:dyDescent="0.25">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row>
    <row r="209" spans="15:90" ht="18" x14ac:dyDescent="0.25">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row>
    <row r="210" spans="15:90" ht="18" x14ac:dyDescent="0.25">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row>
    <row r="211" spans="15:90" ht="18" x14ac:dyDescent="0.25">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row>
    <row r="212" spans="15:90" ht="18" x14ac:dyDescent="0.25">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row>
    <row r="213" spans="15:90" ht="18" x14ac:dyDescent="0.25">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row>
    <row r="214" spans="15:90" ht="18" x14ac:dyDescent="0.25">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row>
    <row r="215" spans="15:90" ht="18" x14ac:dyDescent="0.25">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row>
    <row r="216" spans="15:90" ht="18" x14ac:dyDescent="0.25">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row>
    <row r="217" spans="15:90" ht="18" x14ac:dyDescent="0.25">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row>
    <row r="218" spans="15:90" ht="18" x14ac:dyDescent="0.25">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row>
    <row r="219" spans="15:90" ht="18" x14ac:dyDescent="0.25">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row>
    <row r="220" spans="15:90" ht="18" x14ac:dyDescent="0.25">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row>
    <row r="221" spans="15:90" ht="18" x14ac:dyDescent="0.25">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row>
    <row r="222" spans="15:90" ht="18" x14ac:dyDescent="0.25">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row>
    <row r="223" spans="15:90" ht="18" x14ac:dyDescent="0.25">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row>
    <row r="224" spans="15:90" ht="18" x14ac:dyDescent="0.25">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row>
    <row r="225" spans="15:90" ht="18" x14ac:dyDescent="0.25">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row>
    <row r="226" spans="15:90" ht="18" x14ac:dyDescent="0.25">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row>
    <row r="227" spans="15:90" ht="18" x14ac:dyDescent="0.25">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row>
    <row r="228" spans="15:90" ht="18" x14ac:dyDescent="0.25">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row>
    <row r="229" spans="15:90" ht="18" x14ac:dyDescent="0.25">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row>
    <row r="230" spans="15:90" ht="18" x14ac:dyDescent="0.25">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row>
    <row r="231" spans="15:90" ht="18" x14ac:dyDescent="0.25">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row>
    <row r="232" spans="15:90" ht="18" x14ac:dyDescent="0.25">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row>
    <row r="233" spans="15:90" ht="18" x14ac:dyDescent="0.25">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row>
    <row r="234" spans="15:90" ht="18" x14ac:dyDescent="0.25">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row>
    <row r="235" spans="15:90" ht="18" x14ac:dyDescent="0.25">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row>
    <row r="236" spans="15:90" ht="18" x14ac:dyDescent="0.25">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row>
    <row r="237" spans="15:90" ht="18" x14ac:dyDescent="0.25">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row>
    <row r="238" spans="15:90" ht="18" x14ac:dyDescent="0.25">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row>
    <row r="239" spans="15:90" ht="18" x14ac:dyDescent="0.25">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row>
    <row r="240" spans="15:90" ht="18" x14ac:dyDescent="0.25">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row>
    <row r="241" spans="15:90" ht="18" x14ac:dyDescent="0.25">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row>
    <row r="242" spans="15:90" ht="18" x14ac:dyDescent="0.25">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row>
    <row r="243" spans="15:90" ht="18" x14ac:dyDescent="0.25">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row>
    <row r="244" spans="15:90" ht="18" x14ac:dyDescent="0.25">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row>
    <row r="245" spans="15:90" ht="18" x14ac:dyDescent="0.25">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row>
    <row r="246" spans="15:90" ht="18" x14ac:dyDescent="0.25">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row>
    <row r="247" spans="15:90" ht="18" x14ac:dyDescent="0.25">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row>
    <row r="248" spans="15:90" ht="18" x14ac:dyDescent="0.25">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row>
    <row r="249" spans="15:90" ht="18" x14ac:dyDescent="0.25">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row>
    <row r="250" spans="15:90" ht="18" x14ac:dyDescent="0.25">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row>
    <row r="251" spans="15:90" ht="18" x14ac:dyDescent="0.25">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row>
    <row r="252" spans="15:90" ht="18" x14ac:dyDescent="0.25">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row>
    <row r="253" spans="15:90" ht="18" x14ac:dyDescent="0.25">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row>
    <row r="254" spans="15:90" ht="18" x14ac:dyDescent="0.25">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row>
    <row r="255" spans="15:90" ht="18" x14ac:dyDescent="0.25">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row>
    <row r="256" spans="15:90" ht="18" x14ac:dyDescent="0.25">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row>
    <row r="257" spans="15:90" ht="18" x14ac:dyDescent="0.25">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row>
    <row r="258" spans="15:90" ht="18" x14ac:dyDescent="0.25">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row>
    <row r="259" spans="15:90" ht="18" x14ac:dyDescent="0.25">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row>
    <row r="260" spans="15:90" ht="18" x14ac:dyDescent="0.25">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row>
    <row r="261" spans="15:90" ht="18" x14ac:dyDescent="0.25">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row>
    <row r="262" spans="15:90" ht="18" x14ac:dyDescent="0.25">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row>
    <row r="263" spans="15:90" ht="18" x14ac:dyDescent="0.25">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row>
    <row r="264" spans="15:90" ht="18" x14ac:dyDescent="0.25">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row>
    <row r="265" spans="15:90" ht="18" x14ac:dyDescent="0.25">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row>
    <row r="266" spans="15:90" ht="18" x14ac:dyDescent="0.25">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row>
    <row r="267" spans="15:90" ht="18" x14ac:dyDescent="0.25">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row>
    <row r="268" spans="15:90" ht="18" x14ac:dyDescent="0.25">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row>
    <row r="269" spans="15:90" ht="18" x14ac:dyDescent="0.25">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row>
    <row r="270" spans="15:90" ht="18" x14ac:dyDescent="0.25">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row>
    <row r="271" spans="15:90" ht="18" x14ac:dyDescent="0.25">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row>
    <row r="272" spans="15:90" ht="18" x14ac:dyDescent="0.25">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row>
    <row r="273" spans="15:90" ht="18" x14ac:dyDescent="0.25">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row>
    <row r="274" spans="15:90" ht="18" x14ac:dyDescent="0.25">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row>
    <row r="275" spans="15:90" ht="18" x14ac:dyDescent="0.25">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row>
    <row r="276" spans="15:90" ht="18" x14ac:dyDescent="0.25">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row>
    <row r="277" spans="15:90" ht="18" x14ac:dyDescent="0.25">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row>
    <row r="278" spans="15:90" ht="18" x14ac:dyDescent="0.25">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row>
    <row r="279" spans="15:90" ht="18" x14ac:dyDescent="0.25">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row>
    <row r="280" spans="15:90" ht="18" x14ac:dyDescent="0.25">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row>
    <row r="281" spans="15:90" ht="18" x14ac:dyDescent="0.25">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row>
    <row r="282" spans="15:90" ht="18" x14ac:dyDescent="0.25">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row>
    <row r="283" spans="15:90" ht="18" x14ac:dyDescent="0.25">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row>
    <row r="284" spans="15:90" ht="18" x14ac:dyDescent="0.25">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row>
    <row r="285" spans="15:90" ht="18" x14ac:dyDescent="0.25">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row>
    <row r="286" spans="15:90" ht="18" x14ac:dyDescent="0.25">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row>
    <row r="287" spans="15:90" ht="18" x14ac:dyDescent="0.25">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row>
    <row r="288" spans="15:90" ht="18" x14ac:dyDescent="0.25">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row>
    <row r="289" spans="15:90" ht="18" x14ac:dyDescent="0.25">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row>
    <row r="290" spans="15:90" ht="18" x14ac:dyDescent="0.25">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row>
    <row r="291" spans="15:90" ht="18" x14ac:dyDescent="0.25">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row>
    <row r="292" spans="15:90" ht="18" x14ac:dyDescent="0.25">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row>
    <row r="293" spans="15:90" ht="18" x14ac:dyDescent="0.25">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row>
    <row r="294" spans="15:90" ht="18" x14ac:dyDescent="0.25">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row>
    <row r="295" spans="15:90" ht="18" x14ac:dyDescent="0.25">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row>
    <row r="296" spans="15:90" ht="18" x14ac:dyDescent="0.25">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row>
    <row r="297" spans="15:90" ht="18" x14ac:dyDescent="0.25">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row>
    <row r="298" spans="15:90" ht="18" x14ac:dyDescent="0.25">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row>
    <row r="299" spans="15:90" ht="18" x14ac:dyDescent="0.25">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row>
    <row r="300" spans="15:90" ht="18" x14ac:dyDescent="0.25">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row>
    <row r="301" spans="15:90" ht="18" x14ac:dyDescent="0.25">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row>
    <row r="302" spans="15:90" ht="18" x14ac:dyDescent="0.25">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row>
    <row r="303" spans="15:90" ht="18" x14ac:dyDescent="0.25">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row>
    <row r="304" spans="15:90" ht="18" x14ac:dyDescent="0.25">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row>
    <row r="305" spans="15:90" ht="18" x14ac:dyDescent="0.25">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row>
    <row r="306" spans="15:90" ht="18" x14ac:dyDescent="0.25">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row>
    <row r="307" spans="15:90" ht="18" x14ac:dyDescent="0.25">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row>
  </sheetData>
  <mergeCells count="32">
    <mergeCell ref="C25:D25"/>
    <mergeCell ref="C60:F60"/>
    <mergeCell ref="C49:F49"/>
    <mergeCell ref="C27:D27"/>
    <mergeCell ref="C41:D41"/>
    <mergeCell ref="C58:F58"/>
    <mergeCell ref="C26:D26"/>
    <mergeCell ref="C53:F53"/>
    <mergeCell ref="C28:D28"/>
    <mergeCell ref="C38:D38"/>
    <mergeCell ref="C30:D30"/>
    <mergeCell ref="C37:D37"/>
    <mergeCell ref="C36:D36"/>
    <mergeCell ref="C72:F72"/>
    <mergeCell ref="C62:F62"/>
    <mergeCell ref="C70:F70"/>
    <mergeCell ref="C64:F64"/>
    <mergeCell ref="C69:F69"/>
    <mergeCell ref="C71:F71"/>
    <mergeCell ref="C61:F61"/>
    <mergeCell ref="C29:D29"/>
    <mergeCell ref="C31:D31"/>
    <mergeCell ref="C32:D32"/>
    <mergeCell ref="C42:D42"/>
    <mergeCell ref="C35:D35"/>
    <mergeCell ref="C34:D34"/>
    <mergeCell ref="C33:D33"/>
    <mergeCell ref="C45:D45"/>
    <mergeCell ref="C43:D43"/>
    <mergeCell ref="C40:D40"/>
    <mergeCell ref="C54:F54"/>
    <mergeCell ref="C44:D44"/>
  </mergeCells>
  <pageMargins left="0.45" right="0" top="0.75" bottom="0" header="0.3" footer="0.05"/>
  <pageSetup paperSize="5" scale="6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J235"/>
  <sheetViews>
    <sheetView zoomScale="68" zoomScaleNormal="68" workbookViewId="0">
      <selection activeCell="H37" sqref="H37"/>
    </sheetView>
  </sheetViews>
  <sheetFormatPr defaultRowHeight="15" x14ac:dyDescent="0.25"/>
  <cols>
    <col min="2" max="2" width="1.875" style="33" customWidth="1"/>
    <col min="3" max="3" width="85.125" style="33" customWidth="1"/>
    <col min="4" max="6" width="17.125" style="76" customWidth="1"/>
    <col min="7" max="7" width="18.75" style="76" customWidth="1"/>
    <col min="8" max="8" width="16.875" style="413" customWidth="1"/>
    <col min="9" max="9" width="11.75" style="592" customWidth="1"/>
    <col min="10" max="10" width="19.25" style="19" hidden="1" customWidth="1"/>
    <col min="11" max="11" width="12.625" customWidth="1"/>
    <col min="252" max="252" width="2.875" customWidth="1"/>
    <col min="253" max="253" width="49" customWidth="1"/>
    <col min="254" max="254" width="16.875" bestFit="1" customWidth="1"/>
    <col min="255" max="255" width="13.625" bestFit="1" customWidth="1"/>
    <col min="256" max="256" width="15.375" bestFit="1" customWidth="1"/>
    <col min="257" max="257" width="7.5" bestFit="1" customWidth="1"/>
    <col min="258" max="258" width="15.25" customWidth="1"/>
    <col min="259" max="259" width="7.5" bestFit="1" customWidth="1"/>
    <col min="260" max="260" width="15.375" bestFit="1" customWidth="1"/>
    <col min="261" max="261" width="7.5" bestFit="1" customWidth="1"/>
    <col min="262" max="262" width="15.375" bestFit="1" customWidth="1"/>
    <col min="263" max="263" width="7.5" bestFit="1" customWidth="1"/>
    <col min="264" max="264" width="16.875" bestFit="1" customWidth="1"/>
    <col min="508" max="508" width="2.875" customWidth="1"/>
    <col min="509" max="509" width="49" customWidth="1"/>
    <col min="510" max="510" width="16.875" bestFit="1" customWidth="1"/>
    <col min="511" max="511" width="13.625" bestFit="1" customWidth="1"/>
    <col min="512" max="512" width="15.375" bestFit="1" customWidth="1"/>
    <col min="513" max="513" width="7.5" bestFit="1" customWidth="1"/>
    <col min="514" max="514" width="15.25" customWidth="1"/>
    <col min="515" max="515" width="7.5" bestFit="1" customWidth="1"/>
    <col min="516" max="516" width="15.375" bestFit="1" customWidth="1"/>
    <col min="517" max="517" width="7.5" bestFit="1" customWidth="1"/>
    <col min="518" max="518" width="15.375" bestFit="1" customWidth="1"/>
    <col min="519" max="519" width="7.5" bestFit="1" customWidth="1"/>
    <col min="520" max="520" width="16.875" bestFit="1" customWidth="1"/>
    <col min="764" max="764" width="2.875" customWidth="1"/>
    <col min="765" max="765" width="49" customWidth="1"/>
    <col min="766" max="766" width="16.875" bestFit="1" customWidth="1"/>
    <col min="767" max="767" width="13.625" bestFit="1" customWidth="1"/>
    <col min="768" max="768" width="15.375" bestFit="1" customWidth="1"/>
    <col min="769" max="769" width="7.5" bestFit="1" customWidth="1"/>
    <col min="770" max="770" width="15.25" customWidth="1"/>
    <col min="771" max="771" width="7.5" bestFit="1" customWidth="1"/>
    <col min="772" max="772" width="15.375" bestFit="1" customWidth="1"/>
    <col min="773" max="773" width="7.5" bestFit="1" customWidth="1"/>
    <col min="774" max="774" width="15.375" bestFit="1" customWidth="1"/>
    <col min="775" max="775" width="7.5" bestFit="1" customWidth="1"/>
    <col min="776" max="776" width="16.875" bestFit="1" customWidth="1"/>
    <col min="1020" max="1020" width="2.875" customWidth="1"/>
    <col min="1021" max="1021" width="49" customWidth="1"/>
    <col min="1022" max="1022" width="16.875" bestFit="1" customWidth="1"/>
    <col min="1023" max="1023" width="13.625" bestFit="1" customWidth="1"/>
    <col min="1024" max="1024" width="15.375" bestFit="1" customWidth="1"/>
    <col min="1025" max="1025" width="7.5" bestFit="1" customWidth="1"/>
    <col min="1026" max="1026" width="15.25" customWidth="1"/>
    <col min="1027" max="1027" width="7.5" bestFit="1" customWidth="1"/>
    <col min="1028" max="1028" width="15.375" bestFit="1" customWidth="1"/>
    <col min="1029" max="1029" width="7.5" bestFit="1" customWidth="1"/>
    <col min="1030" max="1030" width="15.375" bestFit="1" customWidth="1"/>
    <col min="1031" max="1031" width="7.5" bestFit="1" customWidth="1"/>
    <col min="1032" max="1032" width="16.875" bestFit="1" customWidth="1"/>
    <col min="1276" max="1276" width="2.875" customWidth="1"/>
    <col min="1277" max="1277" width="49" customWidth="1"/>
    <col min="1278" max="1278" width="16.875" bestFit="1" customWidth="1"/>
    <col min="1279" max="1279" width="13.625" bestFit="1" customWidth="1"/>
    <col min="1280" max="1280" width="15.375" bestFit="1" customWidth="1"/>
    <col min="1281" max="1281" width="7.5" bestFit="1" customWidth="1"/>
    <col min="1282" max="1282" width="15.25" customWidth="1"/>
    <col min="1283" max="1283" width="7.5" bestFit="1" customWidth="1"/>
    <col min="1284" max="1284" width="15.375" bestFit="1" customWidth="1"/>
    <col min="1285" max="1285" width="7.5" bestFit="1" customWidth="1"/>
    <col min="1286" max="1286" width="15.375" bestFit="1" customWidth="1"/>
    <col min="1287" max="1287" width="7.5" bestFit="1" customWidth="1"/>
    <col min="1288" max="1288" width="16.875" bestFit="1" customWidth="1"/>
    <col min="1532" max="1532" width="2.875" customWidth="1"/>
    <col min="1533" max="1533" width="49" customWidth="1"/>
    <col min="1534" max="1534" width="16.875" bestFit="1" customWidth="1"/>
    <col min="1535" max="1535" width="13.625" bestFit="1" customWidth="1"/>
    <col min="1536" max="1536" width="15.375" bestFit="1" customWidth="1"/>
    <col min="1537" max="1537" width="7.5" bestFit="1" customWidth="1"/>
    <col min="1538" max="1538" width="15.25" customWidth="1"/>
    <col min="1539" max="1539" width="7.5" bestFit="1" customWidth="1"/>
    <col min="1540" max="1540" width="15.375" bestFit="1" customWidth="1"/>
    <col min="1541" max="1541" width="7.5" bestFit="1" customWidth="1"/>
    <col min="1542" max="1542" width="15.375" bestFit="1" customWidth="1"/>
    <col min="1543" max="1543" width="7.5" bestFit="1" customWidth="1"/>
    <col min="1544" max="1544" width="16.875" bestFit="1" customWidth="1"/>
    <col min="1788" max="1788" width="2.875" customWidth="1"/>
    <col min="1789" max="1789" width="49" customWidth="1"/>
    <col min="1790" max="1790" width="16.875" bestFit="1" customWidth="1"/>
    <col min="1791" max="1791" width="13.625" bestFit="1" customWidth="1"/>
    <col min="1792" max="1792" width="15.375" bestFit="1" customWidth="1"/>
    <col min="1793" max="1793" width="7.5" bestFit="1" customWidth="1"/>
    <col min="1794" max="1794" width="15.25" customWidth="1"/>
    <col min="1795" max="1795" width="7.5" bestFit="1" customWidth="1"/>
    <col min="1796" max="1796" width="15.375" bestFit="1" customWidth="1"/>
    <col min="1797" max="1797" width="7.5" bestFit="1" customWidth="1"/>
    <col min="1798" max="1798" width="15.375" bestFit="1" customWidth="1"/>
    <col min="1799" max="1799" width="7.5" bestFit="1" customWidth="1"/>
    <col min="1800" max="1800" width="16.875" bestFit="1" customWidth="1"/>
    <col min="2044" max="2044" width="2.875" customWidth="1"/>
    <col min="2045" max="2045" width="49" customWidth="1"/>
    <col min="2046" max="2046" width="16.875" bestFit="1" customWidth="1"/>
    <col min="2047" max="2047" width="13.625" bestFit="1" customWidth="1"/>
    <col min="2048" max="2048" width="15.375" bestFit="1" customWidth="1"/>
    <col min="2049" max="2049" width="7.5" bestFit="1" customWidth="1"/>
    <col min="2050" max="2050" width="15.25" customWidth="1"/>
    <col min="2051" max="2051" width="7.5" bestFit="1" customWidth="1"/>
    <col min="2052" max="2052" width="15.375" bestFit="1" customWidth="1"/>
    <col min="2053" max="2053" width="7.5" bestFit="1" customWidth="1"/>
    <col min="2054" max="2054" width="15.375" bestFit="1" customWidth="1"/>
    <col min="2055" max="2055" width="7.5" bestFit="1" customWidth="1"/>
    <col min="2056" max="2056" width="16.875" bestFit="1" customWidth="1"/>
    <col min="2300" max="2300" width="2.875" customWidth="1"/>
    <col min="2301" max="2301" width="49" customWidth="1"/>
    <col min="2302" max="2302" width="16.875" bestFit="1" customWidth="1"/>
    <col min="2303" max="2303" width="13.625" bestFit="1" customWidth="1"/>
    <col min="2304" max="2304" width="15.375" bestFit="1" customWidth="1"/>
    <col min="2305" max="2305" width="7.5" bestFit="1" customWidth="1"/>
    <col min="2306" max="2306" width="15.25" customWidth="1"/>
    <col min="2307" max="2307" width="7.5" bestFit="1" customWidth="1"/>
    <col min="2308" max="2308" width="15.375" bestFit="1" customWidth="1"/>
    <col min="2309" max="2309" width="7.5" bestFit="1" customWidth="1"/>
    <col min="2310" max="2310" width="15.375" bestFit="1" customWidth="1"/>
    <col min="2311" max="2311" width="7.5" bestFit="1" customWidth="1"/>
    <col min="2312" max="2312" width="16.875" bestFit="1" customWidth="1"/>
    <col min="2556" max="2556" width="2.875" customWidth="1"/>
    <col min="2557" max="2557" width="49" customWidth="1"/>
    <col min="2558" max="2558" width="16.875" bestFit="1" customWidth="1"/>
    <col min="2559" max="2559" width="13.625" bestFit="1" customWidth="1"/>
    <col min="2560" max="2560" width="15.375" bestFit="1" customWidth="1"/>
    <col min="2561" max="2561" width="7.5" bestFit="1" customWidth="1"/>
    <col min="2562" max="2562" width="15.25" customWidth="1"/>
    <col min="2563" max="2563" width="7.5" bestFit="1" customWidth="1"/>
    <col min="2564" max="2564" width="15.375" bestFit="1" customWidth="1"/>
    <col min="2565" max="2565" width="7.5" bestFit="1" customWidth="1"/>
    <col min="2566" max="2566" width="15.375" bestFit="1" customWidth="1"/>
    <col min="2567" max="2567" width="7.5" bestFit="1" customWidth="1"/>
    <col min="2568" max="2568" width="16.875" bestFit="1" customWidth="1"/>
    <col min="2812" max="2812" width="2.875" customWidth="1"/>
    <col min="2813" max="2813" width="49" customWidth="1"/>
    <col min="2814" max="2814" width="16.875" bestFit="1" customWidth="1"/>
    <col min="2815" max="2815" width="13.625" bestFit="1" customWidth="1"/>
    <col min="2816" max="2816" width="15.375" bestFit="1" customWidth="1"/>
    <col min="2817" max="2817" width="7.5" bestFit="1" customWidth="1"/>
    <col min="2818" max="2818" width="15.25" customWidth="1"/>
    <col min="2819" max="2819" width="7.5" bestFit="1" customWidth="1"/>
    <col min="2820" max="2820" width="15.375" bestFit="1" customWidth="1"/>
    <col min="2821" max="2821" width="7.5" bestFit="1" customWidth="1"/>
    <col min="2822" max="2822" width="15.375" bestFit="1" customWidth="1"/>
    <col min="2823" max="2823" width="7.5" bestFit="1" customWidth="1"/>
    <col min="2824" max="2824" width="16.875" bestFit="1" customWidth="1"/>
    <col min="3068" max="3068" width="2.875" customWidth="1"/>
    <col min="3069" max="3069" width="49" customWidth="1"/>
    <col min="3070" max="3070" width="16.875" bestFit="1" customWidth="1"/>
    <col min="3071" max="3071" width="13.625" bestFit="1" customWidth="1"/>
    <col min="3072" max="3072" width="15.375" bestFit="1" customWidth="1"/>
    <col min="3073" max="3073" width="7.5" bestFit="1" customWidth="1"/>
    <col min="3074" max="3074" width="15.25" customWidth="1"/>
    <col min="3075" max="3075" width="7.5" bestFit="1" customWidth="1"/>
    <col min="3076" max="3076" width="15.375" bestFit="1" customWidth="1"/>
    <col min="3077" max="3077" width="7.5" bestFit="1" customWidth="1"/>
    <col min="3078" max="3078" width="15.375" bestFit="1" customWidth="1"/>
    <col min="3079" max="3079" width="7.5" bestFit="1" customWidth="1"/>
    <col min="3080" max="3080" width="16.875" bestFit="1" customWidth="1"/>
    <col min="3324" max="3324" width="2.875" customWidth="1"/>
    <col min="3325" max="3325" width="49" customWidth="1"/>
    <col min="3326" max="3326" width="16.875" bestFit="1" customWidth="1"/>
    <col min="3327" max="3327" width="13.625" bestFit="1" customWidth="1"/>
    <col min="3328" max="3328" width="15.375" bestFit="1" customWidth="1"/>
    <col min="3329" max="3329" width="7.5" bestFit="1" customWidth="1"/>
    <col min="3330" max="3330" width="15.25" customWidth="1"/>
    <col min="3331" max="3331" width="7.5" bestFit="1" customWidth="1"/>
    <col min="3332" max="3332" width="15.375" bestFit="1" customWidth="1"/>
    <col min="3333" max="3333" width="7.5" bestFit="1" customWidth="1"/>
    <col min="3334" max="3334" width="15.375" bestFit="1" customWidth="1"/>
    <col min="3335" max="3335" width="7.5" bestFit="1" customWidth="1"/>
    <col min="3336" max="3336" width="16.875" bestFit="1" customWidth="1"/>
    <col min="3580" max="3580" width="2.875" customWidth="1"/>
    <col min="3581" max="3581" width="49" customWidth="1"/>
    <col min="3582" max="3582" width="16.875" bestFit="1" customWidth="1"/>
    <col min="3583" max="3583" width="13.625" bestFit="1" customWidth="1"/>
    <col min="3584" max="3584" width="15.375" bestFit="1" customWidth="1"/>
    <col min="3585" max="3585" width="7.5" bestFit="1" customWidth="1"/>
    <col min="3586" max="3586" width="15.25" customWidth="1"/>
    <col min="3587" max="3587" width="7.5" bestFit="1" customWidth="1"/>
    <col min="3588" max="3588" width="15.375" bestFit="1" customWidth="1"/>
    <col min="3589" max="3589" width="7.5" bestFit="1" customWidth="1"/>
    <col min="3590" max="3590" width="15.375" bestFit="1" customWidth="1"/>
    <col min="3591" max="3591" width="7.5" bestFit="1" customWidth="1"/>
    <col min="3592" max="3592" width="16.875" bestFit="1" customWidth="1"/>
    <col min="3836" max="3836" width="2.875" customWidth="1"/>
    <col min="3837" max="3837" width="49" customWidth="1"/>
    <col min="3838" max="3838" width="16.875" bestFit="1" customWidth="1"/>
    <col min="3839" max="3839" width="13.625" bestFit="1" customWidth="1"/>
    <col min="3840" max="3840" width="15.375" bestFit="1" customWidth="1"/>
    <col min="3841" max="3841" width="7.5" bestFit="1" customWidth="1"/>
    <col min="3842" max="3842" width="15.25" customWidth="1"/>
    <col min="3843" max="3843" width="7.5" bestFit="1" customWidth="1"/>
    <col min="3844" max="3844" width="15.375" bestFit="1" customWidth="1"/>
    <col min="3845" max="3845" width="7.5" bestFit="1" customWidth="1"/>
    <col min="3846" max="3846" width="15.375" bestFit="1" customWidth="1"/>
    <col min="3847" max="3847" width="7.5" bestFit="1" customWidth="1"/>
    <col min="3848" max="3848" width="16.875" bestFit="1" customWidth="1"/>
    <col min="4092" max="4092" width="2.875" customWidth="1"/>
    <col min="4093" max="4093" width="49" customWidth="1"/>
    <col min="4094" max="4094" width="16.875" bestFit="1" customWidth="1"/>
    <col min="4095" max="4095" width="13.625" bestFit="1" customWidth="1"/>
    <col min="4096" max="4096" width="15.375" bestFit="1" customWidth="1"/>
    <col min="4097" max="4097" width="7.5" bestFit="1" customWidth="1"/>
    <col min="4098" max="4098" width="15.25" customWidth="1"/>
    <col min="4099" max="4099" width="7.5" bestFit="1" customWidth="1"/>
    <col min="4100" max="4100" width="15.375" bestFit="1" customWidth="1"/>
    <col min="4101" max="4101" width="7.5" bestFit="1" customWidth="1"/>
    <col min="4102" max="4102" width="15.375" bestFit="1" customWidth="1"/>
    <col min="4103" max="4103" width="7.5" bestFit="1" customWidth="1"/>
    <col min="4104" max="4104" width="16.875" bestFit="1" customWidth="1"/>
    <col min="4348" max="4348" width="2.875" customWidth="1"/>
    <col min="4349" max="4349" width="49" customWidth="1"/>
    <col min="4350" max="4350" width="16.875" bestFit="1" customWidth="1"/>
    <col min="4351" max="4351" width="13.625" bestFit="1" customWidth="1"/>
    <col min="4352" max="4352" width="15.375" bestFit="1" customWidth="1"/>
    <col min="4353" max="4353" width="7.5" bestFit="1" customWidth="1"/>
    <col min="4354" max="4354" width="15.25" customWidth="1"/>
    <col min="4355" max="4355" width="7.5" bestFit="1" customWidth="1"/>
    <col min="4356" max="4356" width="15.375" bestFit="1" customWidth="1"/>
    <col min="4357" max="4357" width="7.5" bestFit="1" customWidth="1"/>
    <col min="4358" max="4358" width="15.375" bestFit="1" customWidth="1"/>
    <col min="4359" max="4359" width="7.5" bestFit="1" customWidth="1"/>
    <col min="4360" max="4360" width="16.875" bestFit="1" customWidth="1"/>
    <col min="4604" max="4604" width="2.875" customWidth="1"/>
    <col min="4605" max="4605" width="49" customWidth="1"/>
    <col min="4606" max="4606" width="16.875" bestFit="1" customWidth="1"/>
    <col min="4607" max="4607" width="13.625" bestFit="1" customWidth="1"/>
    <col min="4608" max="4608" width="15.375" bestFit="1" customWidth="1"/>
    <col min="4609" max="4609" width="7.5" bestFit="1" customWidth="1"/>
    <col min="4610" max="4610" width="15.25" customWidth="1"/>
    <col min="4611" max="4611" width="7.5" bestFit="1" customWidth="1"/>
    <col min="4612" max="4612" width="15.375" bestFit="1" customWidth="1"/>
    <col min="4613" max="4613" width="7.5" bestFit="1" customWidth="1"/>
    <col min="4614" max="4614" width="15.375" bestFit="1" customWidth="1"/>
    <col min="4615" max="4615" width="7.5" bestFit="1" customWidth="1"/>
    <col min="4616" max="4616" width="16.875" bestFit="1" customWidth="1"/>
    <col min="4860" max="4860" width="2.875" customWidth="1"/>
    <col min="4861" max="4861" width="49" customWidth="1"/>
    <col min="4862" max="4862" width="16.875" bestFit="1" customWidth="1"/>
    <col min="4863" max="4863" width="13.625" bestFit="1" customWidth="1"/>
    <col min="4864" max="4864" width="15.375" bestFit="1" customWidth="1"/>
    <col min="4865" max="4865" width="7.5" bestFit="1" customWidth="1"/>
    <col min="4866" max="4866" width="15.25" customWidth="1"/>
    <col min="4867" max="4867" width="7.5" bestFit="1" customWidth="1"/>
    <col min="4868" max="4868" width="15.375" bestFit="1" customWidth="1"/>
    <col min="4869" max="4869" width="7.5" bestFit="1" customWidth="1"/>
    <col min="4870" max="4870" width="15.375" bestFit="1" customWidth="1"/>
    <col min="4871" max="4871" width="7.5" bestFit="1" customWidth="1"/>
    <col min="4872" max="4872" width="16.875" bestFit="1" customWidth="1"/>
    <col min="5116" max="5116" width="2.875" customWidth="1"/>
    <col min="5117" max="5117" width="49" customWidth="1"/>
    <col min="5118" max="5118" width="16.875" bestFit="1" customWidth="1"/>
    <col min="5119" max="5119" width="13.625" bestFit="1" customWidth="1"/>
    <col min="5120" max="5120" width="15.375" bestFit="1" customWidth="1"/>
    <col min="5121" max="5121" width="7.5" bestFit="1" customWidth="1"/>
    <col min="5122" max="5122" width="15.25" customWidth="1"/>
    <col min="5123" max="5123" width="7.5" bestFit="1" customWidth="1"/>
    <col min="5124" max="5124" width="15.375" bestFit="1" customWidth="1"/>
    <col min="5125" max="5125" width="7.5" bestFit="1" customWidth="1"/>
    <col min="5126" max="5126" width="15.375" bestFit="1" customWidth="1"/>
    <col min="5127" max="5127" width="7.5" bestFit="1" customWidth="1"/>
    <col min="5128" max="5128" width="16.875" bestFit="1" customWidth="1"/>
    <col min="5372" max="5372" width="2.875" customWidth="1"/>
    <col min="5373" max="5373" width="49" customWidth="1"/>
    <col min="5374" max="5374" width="16.875" bestFit="1" customWidth="1"/>
    <col min="5375" max="5375" width="13.625" bestFit="1" customWidth="1"/>
    <col min="5376" max="5376" width="15.375" bestFit="1" customWidth="1"/>
    <col min="5377" max="5377" width="7.5" bestFit="1" customWidth="1"/>
    <col min="5378" max="5378" width="15.25" customWidth="1"/>
    <col min="5379" max="5379" width="7.5" bestFit="1" customWidth="1"/>
    <col min="5380" max="5380" width="15.375" bestFit="1" customWidth="1"/>
    <col min="5381" max="5381" width="7.5" bestFit="1" customWidth="1"/>
    <col min="5382" max="5382" width="15.375" bestFit="1" customWidth="1"/>
    <col min="5383" max="5383" width="7.5" bestFit="1" customWidth="1"/>
    <col min="5384" max="5384" width="16.875" bestFit="1" customWidth="1"/>
    <col min="5628" max="5628" width="2.875" customWidth="1"/>
    <col min="5629" max="5629" width="49" customWidth="1"/>
    <col min="5630" max="5630" width="16.875" bestFit="1" customWidth="1"/>
    <col min="5631" max="5631" width="13.625" bestFit="1" customWidth="1"/>
    <col min="5632" max="5632" width="15.375" bestFit="1" customWidth="1"/>
    <col min="5633" max="5633" width="7.5" bestFit="1" customWidth="1"/>
    <col min="5634" max="5634" width="15.25" customWidth="1"/>
    <col min="5635" max="5635" width="7.5" bestFit="1" customWidth="1"/>
    <col min="5636" max="5636" width="15.375" bestFit="1" customWidth="1"/>
    <col min="5637" max="5637" width="7.5" bestFit="1" customWidth="1"/>
    <col min="5638" max="5638" width="15.375" bestFit="1" customWidth="1"/>
    <col min="5639" max="5639" width="7.5" bestFit="1" customWidth="1"/>
    <col min="5640" max="5640" width="16.875" bestFit="1" customWidth="1"/>
    <col min="5884" max="5884" width="2.875" customWidth="1"/>
    <col min="5885" max="5885" width="49" customWidth="1"/>
    <col min="5886" max="5886" width="16.875" bestFit="1" customWidth="1"/>
    <col min="5887" max="5887" width="13.625" bestFit="1" customWidth="1"/>
    <col min="5888" max="5888" width="15.375" bestFit="1" customWidth="1"/>
    <col min="5889" max="5889" width="7.5" bestFit="1" customWidth="1"/>
    <col min="5890" max="5890" width="15.25" customWidth="1"/>
    <col min="5891" max="5891" width="7.5" bestFit="1" customWidth="1"/>
    <col min="5892" max="5892" width="15.375" bestFit="1" customWidth="1"/>
    <col min="5893" max="5893" width="7.5" bestFit="1" customWidth="1"/>
    <col min="5894" max="5894" width="15.375" bestFit="1" customWidth="1"/>
    <col min="5895" max="5895" width="7.5" bestFit="1" customWidth="1"/>
    <col min="5896" max="5896" width="16.875" bestFit="1" customWidth="1"/>
    <col min="6140" max="6140" width="2.875" customWidth="1"/>
    <col min="6141" max="6141" width="49" customWidth="1"/>
    <col min="6142" max="6142" width="16.875" bestFit="1" customWidth="1"/>
    <col min="6143" max="6143" width="13.625" bestFit="1" customWidth="1"/>
    <col min="6144" max="6144" width="15.375" bestFit="1" customWidth="1"/>
    <col min="6145" max="6145" width="7.5" bestFit="1" customWidth="1"/>
    <col min="6146" max="6146" width="15.25" customWidth="1"/>
    <col min="6147" max="6147" width="7.5" bestFit="1" customWidth="1"/>
    <col min="6148" max="6148" width="15.375" bestFit="1" customWidth="1"/>
    <col min="6149" max="6149" width="7.5" bestFit="1" customWidth="1"/>
    <col min="6150" max="6150" width="15.375" bestFit="1" customWidth="1"/>
    <col min="6151" max="6151" width="7.5" bestFit="1" customWidth="1"/>
    <col min="6152" max="6152" width="16.875" bestFit="1" customWidth="1"/>
    <col min="6396" max="6396" width="2.875" customWidth="1"/>
    <col min="6397" max="6397" width="49" customWidth="1"/>
    <col min="6398" max="6398" width="16.875" bestFit="1" customWidth="1"/>
    <col min="6399" max="6399" width="13.625" bestFit="1" customWidth="1"/>
    <col min="6400" max="6400" width="15.375" bestFit="1" customWidth="1"/>
    <col min="6401" max="6401" width="7.5" bestFit="1" customWidth="1"/>
    <col min="6402" max="6402" width="15.25" customWidth="1"/>
    <col min="6403" max="6403" width="7.5" bestFit="1" customWidth="1"/>
    <col min="6404" max="6404" width="15.375" bestFit="1" customWidth="1"/>
    <col min="6405" max="6405" width="7.5" bestFit="1" customWidth="1"/>
    <col min="6406" max="6406" width="15.375" bestFit="1" customWidth="1"/>
    <col min="6407" max="6407" width="7.5" bestFit="1" customWidth="1"/>
    <col min="6408" max="6408" width="16.875" bestFit="1" customWidth="1"/>
    <col min="6652" max="6652" width="2.875" customWidth="1"/>
    <col min="6653" max="6653" width="49" customWidth="1"/>
    <col min="6654" max="6654" width="16.875" bestFit="1" customWidth="1"/>
    <col min="6655" max="6655" width="13.625" bestFit="1" customWidth="1"/>
    <col min="6656" max="6656" width="15.375" bestFit="1" customWidth="1"/>
    <col min="6657" max="6657" width="7.5" bestFit="1" customWidth="1"/>
    <col min="6658" max="6658" width="15.25" customWidth="1"/>
    <col min="6659" max="6659" width="7.5" bestFit="1" customWidth="1"/>
    <col min="6660" max="6660" width="15.375" bestFit="1" customWidth="1"/>
    <col min="6661" max="6661" width="7.5" bestFit="1" customWidth="1"/>
    <col min="6662" max="6662" width="15.375" bestFit="1" customWidth="1"/>
    <col min="6663" max="6663" width="7.5" bestFit="1" customWidth="1"/>
    <col min="6664" max="6664" width="16.875" bestFit="1" customWidth="1"/>
    <col min="6908" max="6908" width="2.875" customWidth="1"/>
    <col min="6909" max="6909" width="49" customWidth="1"/>
    <col min="6910" max="6910" width="16.875" bestFit="1" customWidth="1"/>
    <col min="6911" max="6911" width="13.625" bestFit="1" customWidth="1"/>
    <col min="6912" max="6912" width="15.375" bestFit="1" customWidth="1"/>
    <col min="6913" max="6913" width="7.5" bestFit="1" customWidth="1"/>
    <col min="6914" max="6914" width="15.25" customWidth="1"/>
    <col min="6915" max="6915" width="7.5" bestFit="1" customWidth="1"/>
    <col min="6916" max="6916" width="15.375" bestFit="1" customWidth="1"/>
    <col min="6917" max="6917" width="7.5" bestFit="1" customWidth="1"/>
    <col min="6918" max="6918" width="15.375" bestFit="1" customWidth="1"/>
    <col min="6919" max="6919" width="7.5" bestFit="1" customWidth="1"/>
    <col min="6920" max="6920" width="16.875" bestFit="1" customWidth="1"/>
    <col min="7164" max="7164" width="2.875" customWidth="1"/>
    <col min="7165" max="7165" width="49" customWidth="1"/>
    <col min="7166" max="7166" width="16.875" bestFit="1" customWidth="1"/>
    <col min="7167" max="7167" width="13.625" bestFit="1" customWidth="1"/>
    <col min="7168" max="7168" width="15.375" bestFit="1" customWidth="1"/>
    <col min="7169" max="7169" width="7.5" bestFit="1" customWidth="1"/>
    <col min="7170" max="7170" width="15.25" customWidth="1"/>
    <col min="7171" max="7171" width="7.5" bestFit="1" customWidth="1"/>
    <col min="7172" max="7172" width="15.375" bestFit="1" customWidth="1"/>
    <col min="7173" max="7173" width="7.5" bestFit="1" customWidth="1"/>
    <col min="7174" max="7174" width="15.375" bestFit="1" customWidth="1"/>
    <col min="7175" max="7175" width="7.5" bestFit="1" customWidth="1"/>
    <col min="7176" max="7176" width="16.875" bestFit="1" customWidth="1"/>
    <col min="7420" max="7420" width="2.875" customWidth="1"/>
    <col min="7421" max="7421" width="49" customWidth="1"/>
    <col min="7422" max="7422" width="16.875" bestFit="1" customWidth="1"/>
    <col min="7423" max="7423" width="13.625" bestFit="1" customWidth="1"/>
    <col min="7424" max="7424" width="15.375" bestFit="1" customWidth="1"/>
    <col min="7425" max="7425" width="7.5" bestFit="1" customWidth="1"/>
    <col min="7426" max="7426" width="15.25" customWidth="1"/>
    <col min="7427" max="7427" width="7.5" bestFit="1" customWidth="1"/>
    <col min="7428" max="7428" width="15.375" bestFit="1" customWidth="1"/>
    <col min="7429" max="7429" width="7.5" bestFit="1" customWidth="1"/>
    <col min="7430" max="7430" width="15.375" bestFit="1" customWidth="1"/>
    <col min="7431" max="7431" width="7.5" bestFit="1" customWidth="1"/>
    <col min="7432" max="7432" width="16.875" bestFit="1" customWidth="1"/>
    <col min="7676" max="7676" width="2.875" customWidth="1"/>
    <col min="7677" max="7677" width="49" customWidth="1"/>
    <col min="7678" max="7678" width="16.875" bestFit="1" customWidth="1"/>
    <col min="7679" max="7679" width="13.625" bestFit="1" customWidth="1"/>
    <col min="7680" max="7680" width="15.375" bestFit="1" customWidth="1"/>
    <col min="7681" max="7681" width="7.5" bestFit="1" customWidth="1"/>
    <col min="7682" max="7682" width="15.25" customWidth="1"/>
    <col min="7683" max="7683" width="7.5" bestFit="1" customWidth="1"/>
    <col min="7684" max="7684" width="15.375" bestFit="1" customWidth="1"/>
    <col min="7685" max="7685" width="7.5" bestFit="1" customWidth="1"/>
    <col min="7686" max="7686" width="15.375" bestFit="1" customWidth="1"/>
    <col min="7687" max="7687" width="7.5" bestFit="1" customWidth="1"/>
    <col min="7688" max="7688" width="16.875" bestFit="1" customWidth="1"/>
    <col min="7932" max="7932" width="2.875" customWidth="1"/>
    <col min="7933" max="7933" width="49" customWidth="1"/>
    <col min="7934" max="7934" width="16.875" bestFit="1" customWidth="1"/>
    <col min="7935" max="7935" width="13.625" bestFit="1" customWidth="1"/>
    <col min="7936" max="7936" width="15.375" bestFit="1" customWidth="1"/>
    <col min="7937" max="7937" width="7.5" bestFit="1" customWidth="1"/>
    <col min="7938" max="7938" width="15.25" customWidth="1"/>
    <col min="7939" max="7939" width="7.5" bestFit="1" customWidth="1"/>
    <col min="7940" max="7940" width="15.375" bestFit="1" customWidth="1"/>
    <col min="7941" max="7941" width="7.5" bestFit="1" customWidth="1"/>
    <col min="7942" max="7942" width="15.375" bestFit="1" customWidth="1"/>
    <col min="7943" max="7943" width="7.5" bestFit="1" customWidth="1"/>
    <col min="7944" max="7944" width="16.875" bestFit="1" customWidth="1"/>
    <col min="8188" max="8188" width="2.875" customWidth="1"/>
    <col min="8189" max="8189" width="49" customWidth="1"/>
    <col min="8190" max="8190" width="16.875" bestFit="1" customWidth="1"/>
    <col min="8191" max="8191" width="13.625" bestFit="1" customWidth="1"/>
    <col min="8192" max="8192" width="15.375" bestFit="1" customWidth="1"/>
    <col min="8193" max="8193" width="7.5" bestFit="1" customWidth="1"/>
    <col min="8194" max="8194" width="15.25" customWidth="1"/>
    <col min="8195" max="8195" width="7.5" bestFit="1" customWidth="1"/>
    <col min="8196" max="8196" width="15.375" bestFit="1" customWidth="1"/>
    <col min="8197" max="8197" width="7.5" bestFit="1" customWidth="1"/>
    <col min="8198" max="8198" width="15.375" bestFit="1" customWidth="1"/>
    <col min="8199" max="8199" width="7.5" bestFit="1" customWidth="1"/>
    <col min="8200" max="8200" width="16.875" bestFit="1" customWidth="1"/>
    <col min="8444" max="8444" width="2.875" customWidth="1"/>
    <col min="8445" max="8445" width="49" customWidth="1"/>
    <col min="8446" max="8446" width="16.875" bestFit="1" customWidth="1"/>
    <col min="8447" max="8447" width="13.625" bestFit="1" customWidth="1"/>
    <col min="8448" max="8448" width="15.375" bestFit="1" customWidth="1"/>
    <col min="8449" max="8449" width="7.5" bestFit="1" customWidth="1"/>
    <col min="8450" max="8450" width="15.25" customWidth="1"/>
    <col min="8451" max="8451" width="7.5" bestFit="1" customWidth="1"/>
    <col min="8452" max="8452" width="15.375" bestFit="1" customWidth="1"/>
    <col min="8453" max="8453" width="7.5" bestFit="1" customWidth="1"/>
    <col min="8454" max="8454" width="15.375" bestFit="1" customWidth="1"/>
    <col min="8455" max="8455" width="7.5" bestFit="1" customWidth="1"/>
    <col min="8456" max="8456" width="16.875" bestFit="1" customWidth="1"/>
    <col min="8700" max="8700" width="2.875" customWidth="1"/>
    <col min="8701" max="8701" width="49" customWidth="1"/>
    <col min="8702" max="8702" width="16.875" bestFit="1" customWidth="1"/>
    <col min="8703" max="8703" width="13.625" bestFit="1" customWidth="1"/>
    <col min="8704" max="8704" width="15.375" bestFit="1" customWidth="1"/>
    <col min="8705" max="8705" width="7.5" bestFit="1" customWidth="1"/>
    <col min="8706" max="8706" width="15.25" customWidth="1"/>
    <col min="8707" max="8707" width="7.5" bestFit="1" customWidth="1"/>
    <col min="8708" max="8708" width="15.375" bestFit="1" customWidth="1"/>
    <col min="8709" max="8709" width="7.5" bestFit="1" customWidth="1"/>
    <col min="8710" max="8710" width="15.375" bestFit="1" customWidth="1"/>
    <col min="8711" max="8711" width="7.5" bestFit="1" customWidth="1"/>
    <col min="8712" max="8712" width="16.875" bestFit="1" customWidth="1"/>
    <col min="8956" max="8956" width="2.875" customWidth="1"/>
    <col min="8957" max="8957" width="49" customWidth="1"/>
    <col min="8958" max="8958" width="16.875" bestFit="1" customWidth="1"/>
    <col min="8959" max="8959" width="13.625" bestFit="1" customWidth="1"/>
    <col min="8960" max="8960" width="15.375" bestFit="1" customWidth="1"/>
    <col min="8961" max="8961" width="7.5" bestFit="1" customWidth="1"/>
    <col min="8962" max="8962" width="15.25" customWidth="1"/>
    <col min="8963" max="8963" width="7.5" bestFit="1" customWidth="1"/>
    <col min="8964" max="8964" width="15.375" bestFit="1" customWidth="1"/>
    <col min="8965" max="8965" width="7.5" bestFit="1" customWidth="1"/>
    <col min="8966" max="8966" width="15.375" bestFit="1" customWidth="1"/>
    <col min="8967" max="8967" width="7.5" bestFit="1" customWidth="1"/>
    <col min="8968" max="8968" width="16.875" bestFit="1" customWidth="1"/>
    <col min="9212" max="9212" width="2.875" customWidth="1"/>
    <col min="9213" max="9213" width="49" customWidth="1"/>
    <col min="9214" max="9214" width="16.875" bestFit="1" customWidth="1"/>
    <col min="9215" max="9215" width="13.625" bestFit="1" customWidth="1"/>
    <col min="9216" max="9216" width="15.375" bestFit="1" customWidth="1"/>
    <col min="9217" max="9217" width="7.5" bestFit="1" customWidth="1"/>
    <col min="9218" max="9218" width="15.25" customWidth="1"/>
    <col min="9219" max="9219" width="7.5" bestFit="1" customWidth="1"/>
    <col min="9220" max="9220" width="15.375" bestFit="1" customWidth="1"/>
    <col min="9221" max="9221" width="7.5" bestFit="1" customWidth="1"/>
    <col min="9222" max="9222" width="15.375" bestFit="1" customWidth="1"/>
    <col min="9223" max="9223" width="7.5" bestFit="1" customWidth="1"/>
    <col min="9224" max="9224" width="16.875" bestFit="1" customWidth="1"/>
    <col min="9468" max="9468" width="2.875" customWidth="1"/>
    <col min="9469" max="9469" width="49" customWidth="1"/>
    <col min="9470" max="9470" width="16.875" bestFit="1" customWidth="1"/>
    <col min="9471" max="9471" width="13.625" bestFit="1" customWidth="1"/>
    <col min="9472" max="9472" width="15.375" bestFit="1" customWidth="1"/>
    <col min="9473" max="9473" width="7.5" bestFit="1" customWidth="1"/>
    <col min="9474" max="9474" width="15.25" customWidth="1"/>
    <col min="9475" max="9475" width="7.5" bestFit="1" customWidth="1"/>
    <col min="9476" max="9476" width="15.375" bestFit="1" customWidth="1"/>
    <col min="9477" max="9477" width="7.5" bestFit="1" customWidth="1"/>
    <col min="9478" max="9478" width="15.375" bestFit="1" customWidth="1"/>
    <col min="9479" max="9479" width="7.5" bestFit="1" customWidth="1"/>
    <col min="9480" max="9480" width="16.875" bestFit="1" customWidth="1"/>
    <col min="9724" max="9724" width="2.875" customWidth="1"/>
    <col min="9725" max="9725" width="49" customWidth="1"/>
    <col min="9726" max="9726" width="16.875" bestFit="1" customWidth="1"/>
    <col min="9727" max="9727" width="13.625" bestFit="1" customWidth="1"/>
    <col min="9728" max="9728" width="15.375" bestFit="1" customWidth="1"/>
    <col min="9729" max="9729" width="7.5" bestFit="1" customWidth="1"/>
    <col min="9730" max="9730" width="15.25" customWidth="1"/>
    <col min="9731" max="9731" width="7.5" bestFit="1" customWidth="1"/>
    <col min="9732" max="9732" width="15.375" bestFit="1" customWidth="1"/>
    <col min="9733" max="9733" width="7.5" bestFit="1" customWidth="1"/>
    <col min="9734" max="9734" width="15.375" bestFit="1" customWidth="1"/>
    <col min="9735" max="9735" width="7.5" bestFit="1" customWidth="1"/>
    <col min="9736" max="9736" width="16.875" bestFit="1" customWidth="1"/>
    <col min="9980" max="9980" width="2.875" customWidth="1"/>
    <col min="9981" max="9981" width="49" customWidth="1"/>
    <col min="9982" max="9982" width="16.875" bestFit="1" customWidth="1"/>
    <col min="9983" max="9983" width="13.625" bestFit="1" customWidth="1"/>
    <col min="9984" max="9984" width="15.375" bestFit="1" customWidth="1"/>
    <col min="9985" max="9985" width="7.5" bestFit="1" customWidth="1"/>
    <col min="9986" max="9986" width="15.25" customWidth="1"/>
    <col min="9987" max="9987" width="7.5" bestFit="1" customWidth="1"/>
    <col min="9988" max="9988" width="15.375" bestFit="1" customWidth="1"/>
    <col min="9989" max="9989" width="7.5" bestFit="1" customWidth="1"/>
    <col min="9990" max="9990" width="15.375" bestFit="1" customWidth="1"/>
    <col min="9991" max="9991" width="7.5" bestFit="1" customWidth="1"/>
    <col min="9992" max="9992" width="16.875" bestFit="1" customWidth="1"/>
    <col min="10236" max="10236" width="2.875" customWidth="1"/>
    <col min="10237" max="10237" width="49" customWidth="1"/>
    <col min="10238" max="10238" width="16.875" bestFit="1" customWidth="1"/>
    <col min="10239" max="10239" width="13.625" bestFit="1" customWidth="1"/>
    <col min="10240" max="10240" width="15.375" bestFit="1" customWidth="1"/>
    <col min="10241" max="10241" width="7.5" bestFit="1" customWidth="1"/>
    <col min="10242" max="10242" width="15.25" customWidth="1"/>
    <col min="10243" max="10243" width="7.5" bestFit="1" customWidth="1"/>
    <col min="10244" max="10244" width="15.375" bestFit="1" customWidth="1"/>
    <col min="10245" max="10245" width="7.5" bestFit="1" customWidth="1"/>
    <col min="10246" max="10246" width="15.375" bestFit="1" customWidth="1"/>
    <col min="10247" max="10247" width="7.5" bestFit="1" customWidth="1"/>
    <col min="10248" max="10248" width="16.875" bestFit="1" customWidth="1"/>
    <col min="10492" max="10492" width="2.875" customWidth="1"/>
    <col min="10493" max="10493" width="49" customWidth="1"/>
    <col min="10494" max="10494" width="16.875" bestFit="1" customWidth="1"/>
    <col min="10495" max="10495" width="13.625" bestFit="1" customWidth="1"/>
    <col min="10496" max="10496" width="15.375" bestFit="1" customWidth="1"/>
    <col min="10497" max="10497" width="7.5" bestFit="1" customWidth="1"/>
    <col min="10498" max="10498" width="15.25" customWidth="1"/>
    <col min="10499" max="10499" width="7.5" bestFit="1" customWidth="1"/>
    <col min="10500" max="10500" width="15.375" bestFit="1" customWidth="1"/>
    <col min="10501" max="10501" width="7.5" bestFit="1" customWidth="1"/>
    <col min="10502" max="10502" width="15.375" bestFit="1" customWidth="1"/>
    <col min="10503" max="10503" width="7.5" bestFit="1" customWidth="1"/>
    <col min="10504" max="10504" width="16.875" bestFit="1" customWidth="1"/>
    <col min="10748" max="10748" width="2.875" customWidth="1"/>
    <col min="10749" max="10749" width="49" customWidth="1"/>
    <col min="10750" max="10750" width="16.875" bestFit="1" customWidth="1"/>
    <col min="10751" max="10751" width="13.625" bestFit="1" customWidth="1"/>
    <col min="10752" max="10752" width="15.375" bestFit="1" customWidth="1"/>
    <col min="10753" max="10753" width="7.5" bestFit="1" customWidth="1"/>
    <col min="10754" max="10754" width="15.25" customWidth="1"/>
    <col min="10755" max="10755" width="7.5" bestFit="1" customWidth="1"/>
    <col min="10756" max="10756" width="15.375" bestFit="1" customWidth="1"/>
    <col min="10757" max="10757" width="7.5" bestFit="1" customWidth="1"/>
    <col min="10758" max="10758" width="15.375" bestFit="1" customWidth="1"/>
    <col min="10759" max="10759" width="7.5" bestFit="1" customWidth="1"/>
    <col min="10760" max="10760" width="16.875" bestFit="1" customWidth="1"/>
    <col min="11004" max="11004" width="2.875" customWidth="1"/>
    <col min="11005" max="11005" width="49" customWidth="1"/>
    <col min="11006" max="11006" width="16.875" bestFit="1" customWidth="1"/>
    <col min="11007" max="11007" width="13.625" bestFit="1" customWidth="1"/>
    <col min="11008" max="11008" width="15.375" bestFit="1" customWidth="1"/>
    <col min="11009" max="11009" width="7.5" bestFit="1" customWidth="1"/>
    <col min="11010" max="11010" width="15.25" customWidth="1"/>
    <col min="11011" max="11011" width="7.5" bestFit="1" customWidth="1"/>
    <col min="11012" max="11012" width="15.375" bestFit="1" customWidth="1"/>
    <col min="11013" max="11013" width="7.5" bestFit="1" customWidth="1"/>
    <col min="11014" max="11014" width="15.375" bestFit="1" customWidth="1"/>
    <col min="11015" max="11015" width="7.5" bestFit="1" customWidth="1"/>
    <col min="11016" max="11016" width="16.875" bestFit="1" customWidth="1"/>
    <col min="11260" max="11260" width="2.875" customWidth="1"/>
    <col min="11261" max="11261" width="49" customWidth="1"/>
    <col min="11262" max="11262" width="16.875" bestFit="1" customWidth="1"/>
    <col min="11263" max="11263" width="13.625" bestFit="1" customWidth="1"/>
    <col min="11264" max="11264" width="15.375" bestFit="1" customWidth="1"/>
    <col min="11265" max="11265" width="7.5" bestFit="1" customWidth="1"/>
    <col min="11266" max="11266" width="15.25" customWidth="1"/>
    <col min="11267" max="11267" width="7.5" bestFit="1" customWidth="1"/>
    <col min="11268" max="11268" width="15.375" bestFit="1" customWidth="1"/>
    <col min="11269" max="11269" width="7.5" bestFit="1" customWidth="1"/>
    <col min="11270" max="11270" width="15.375" bestFit="1" customWidth="1"/>
    <col min="11271" max="11271" width="7.5" bestFit="1" customWidth="1"/>
    <col min="11272" max="11272" width="16.875" bestFit="1" customWidth="1"/>
    <col min="11516" max="11516" width="2.875" customWidth="1"/>
    <col min="11517" max="11517" width="49" customWidth="1"/>
    <col min="11518" max="11518" width="16.875" bestFit="1" customWidth="1"/>
    <col min="11519" max="11519" width="13.625" bestFit="1" customWidth="1"/>
    <col min="11520" max="11520" width="15.375" bestFit="1" customWidth="1"/>
    <col min="11521" max="11521" width="7.5" bestFit="1" customWidth="1"/>
    <col min="11522" max="11522" width="15.25" customWidth="1"/>
    <col min="11523" max="11523" width="7.5" bestFit="1" customWidth="1"/>
    <col min="11524" max="11524" width="15.375" bestFit="1" customWidth="1"/>
    <col min="11525" max="11525" width="7.5" bestFit="1" customWidth="1"/>
    <col min="11526" max="11526" width="15.375" bestFit="1" customWidth="1"/>
    <col min="11527" max="11527" width="7.5" bestFit="1" customWidth="1"/>
    <col min="11528" max="11528" width="16.875" bestFit="1" customWidth="1"/>
    <col min="11772" max="11772" width="2.875" customWidth="1"/>
    <col min="11773" max="11773" width="49" customWidth="1"/>
    <col min="11774" max="11774" width="16.875" bestFit="1" customWidth="1"/>
    <col min="11775" max="11775" width="13.625" bestFit="1" customWidth="1"/>
    <col min="11776" max="11776" width="15.375" bestFit="1" customWidth="1"/>
    <col min="11777" max="11777" width="7.5" bestFit="1" customWidth="1"/>
    <col min="11778" max="11778" width="15.25" customWidth="1"/>
    <col min="11779" max="11779" width="7.5" bestFit="1" customWidth="1"/>
    <col min="11780" max="11780" width="15.375" bestFit="1" customWidth="1"/>
    <col min="11781" max="11781" width="7.5" bestFit="1" customWidth="1"/>
    <col min="11782" max="11782" width="15.375" bestFit="1" customWidth="1"/>
    <col min="11783" max="11783" width="7.5" bestFit="1" customWidth="1"/>
    <col min="11784" max="11784" width="16.875" bestFit="1" customWidth="1"/>
    <col min="12028" max="12028" width="2.875" customWidth="1"/>
    <col min="12029" max="12029" width="49" customWidth="1"/>
    <col min="12030" max="12030" width="16.875" bestFit="1" customWidth="1"/>
    <col min="12031" max="12031" width="13.625" bestFit="1" customWidth="1"/>
    <col min="12032" max="12032" width="15.375" bestFit="1" customWidth="1"/>
    <col min="12033" max="12033" width="7.5" bestFit="1" customWidth="1"/>
    <col min="12034" max="12034" width="15.25" customWidth="1"/>
    <col min="12035" max="12035" width="7.5" bestFit="1" customWidth="1"/>
    <col min="12036" max="12036" width="15.375" bestFit="1" customWidth="1"/>
    <col min="12037" max="12037" width="7.5" bestFit="1" customWidth="1"/>
    <col min="12038" max="12038" width="15.375" bestFit="1" customWidth="1"/>
    <col min="12039" max="12039" width="7.5" bestFit="1" customWidth="1"/>
    <col min="12040" max="12040" width="16.875" bestFit="1" customWidth="1"/>
    <col min="12284" max="12284" width="2.875" customWidth="1"/>
    <col min="12285" max="12285" width="49" customWidth="1"/>
    <col min="12286" max="12286" width="16.875" bestFit="1" customWidth="1"/>
    <col min="12287" max="12287" width="13.625" bestFit="1" customWidth="1"/>
    <col min="12288" max="12288" width="15.375" bestFit="1" customWidth="1"/>
    <col min="12289" max="12289" width="7.5" bestFit="1" customWidth="1"/>
    <col min="12290" max="12290" width="15.25" customWidth="1"/>
    <col min="12291" max="12291" width="7.5" bestFit="1" customWidth="1"/>
    <col min="12292" max="12292" width="15.375" bestFit="1" customWidth="1"/>
    <col min="12293" max="12293" width="7.5" bestFit="1" customWidth="1"/>
    <col min="12294" max="12294" width="15.375" bestFit="1" customWidth="1"/>
    <col min="12295" max="12295" width="7.5" bestFit="1" customWidth="1"/>
    <col min="12296" max="12296" width="16.875" bestFit="1" customWidth="1"/>
    <col min="12540" max="12540" width="2.875" customWidth="1"/>
    <col min="12541" max="12541" width="49" customWidth="1"/>
    <col min="12542" max="12542" width="16.875" bestFit="1" customWidth="1"/>
    <col min="12543" max="12543" width="13.625" bestFit="1" customWidth="1"/>
    <col min="12544" max="12544" width="15.375" bestFit="1" customWidth="1"/>
    <col min="12545" max="12545" width="7.5" bestFit="1" customWidth="1"/>
    <col min="12546" max="12546" width="15.25" customWidth="1"/>
    <col min="12547" max="12547" width="7.5" bestFit="1" customWidth="1"/>
    <col min="12548" max="12548" width="15.375" bestFit="1" customWidth="1"/>
    <col min="12549" max="12549" width="7.5" bestFit="1" customWidth="1"/>
    <col min="12550" max="12550" width="15.375" bestFit="1" customWidth="1"/>
    <col min="12551" max="12551" width="7.5" bestFit="1" customWidth="1"/>
    <col min="12552" max="12552" width="16.875" bestFit="1" customWidth="1"/>
    <col min="12796" max="12796" width="2.875" customWidth="1"/>
    <col min="12797" max="12797" width="49" customWidth="1"/>
    <col min="12798" max="12798" width="16.875" bestFit="1" customWidth="1"/>
    <col min="12799" max="12799" width="13.625" bestFit="1" customWidth="1"/>
    <col min="12800" max="12800" width="15.375" bestFit="1" customWidth="1"/>
    <col min="12801" max="12801" width="7.5" bestFit="1" customWidth="1"/>
    <col min="12802" max="12802" width="15.25" customWidth="1"/>
    <col min="12803" max="12803" width="7.5" bestFit="1" customWidth="1"/>
    <col min="12804" max="12804" width="15.375" bestFit="1" customWidth="1"/>
    <col min="12805" max="12805" width="7.5" bestFit="1" customWidth="1"/>
    <col min="12806" max="12806" width="15.375" bestFit="1" customWidth="1"/>
    <col min="12807" max="12807" width="7.5" bestFit="1" customWidth="1"/>
    <col min="12808" max="12808" width="16.875" bestFit="1" customWidth="1"/>
    <col min="13052" max="13052" width="2.875" customWidth="1"/>
    <col min="13053" max="13053" width="49" customWidth="1"/>
    <col min="13054" max="13054" width="16.875" bestFit="1" customWidth="1"/>
    <col min="13055" max="13055" width="13.625" bestFit="1" customWidth="1"/>
    <col min="13056" max="13056" width="15.375" bestFit="1" customWidth="1"/>
    <col min="13057" max="13057" width="7.5" bestFit="1" customWidth="1"/>
    <col min="13058" max="13058" width="15.25" customWidth="1"/>
    <col min="13059" max="13059" width="7.5" bestFit="1" customWidth="1"/>
    <col min="13060" max="13060" width="15.375" bestFit="1" customWidth="1"/>
    <col min="13061" max="13061" width="7.5" bestFit="1" customWidth="1"/>
    <col min="13062" max="13062" width="15.375" bestFit="1" customWidth="1"/>
    <col min="13063" max="13063" width="7.5" bestFit="1" customWidth="1"/>
    <col min="13064" max="13064" width="16.875" bestFit="1" customWidth="1"/>
    <col min="13308" max="13308" width="2.875" customWidth="1"/>
    <col min="13309" max="13309" width="49" customWidth="1"/>
    <col min="13310" max="13310" width="16.875" bestFit="1" customWidth="1"/>
    <col min="13311" max="13311" width="13.625" bestFit="1" customWidth="1"/>
    <col min="13312" max="13312" width="15.375" bestFit="1" customWidth="1"/>
    <col min="13313" max="13313" width="7.5" bestFit="1" customWidth="1"/>
    <col min="13314" max="13314" width="15.25" customWidth="1"/>
    <col min="13315" max="13315" width="7.5" bestFit="1" customWidth="1"/>
    <col min="13316" max="13316" width="15.375" bestFit="1" customWidth="1"/>
    <col min="13317" max="13317" width="7.5" bestFit="1" customWidth="1"/>
    <col min="13318" max="13318" width="15.375" bestFit="1" customWidth="1"/>
    <col min="13319" max="13319" width="7.5" bestFit="1" customWidth="1"/>
    <col min="13320" max="13320" width="16.875" bestFit="1" customWidth="1"/>
    <col min="13564" max="13564" width="2.875" customWidth="1"/>
    <col min="13565" max="13565" width="49" customWidth="1"/>
    <col min="13566" max="13566" width="16.875" bestFit="1" customWidth="1"/>
    <col min="13567" max="13567" width="13.625" bestFit="1" customWidth="1"/>
    <col min="13568" max="13568" width="15.375" bestFit="1" customWidth="1"/>
    <col min="13569" max="13569" width="7.5" bestFit="1" customWidth="1"/>
    <col min="13570" max="13570" width="15.25" customWidth="1"/>
    <col min="13571" max="13571" width="7.5" bestFit="1" customWidth="1"/>
    <col min="13572" max="13572" width="15.375" bestFit="1" customWidth="1"/>
    <col min="13573" max="13573" width="7.5" bestFit="1" customWidth="1"/>
    <col min="13574" max="13574" width="15.375" bestFit="1" customWidth="1"/>
    <col min="13575" max="13575" width="7.5" bestFit="1" customWidth="1"/>
    <col min="13576" max="13576" width="16.875" bestFit="1" customWidth="1"/>
    <col min="13820" max="13820" width="2.875" customWidth="1"/>
    <col min="13821" max="13821" width="49" customWidth="1"/>
    <col min="13822" max="13822" width="16.875" bestFit="1" customWidth="1"/>
    <col min="13823" max="13823" width="13.625" bestFit="1" customWidth="1"/>
    <col min="13824" max="13824" width="15.375" bestFit="1" customWidth="1"/>
    <col min="13825" max="13825" width="7.5" bestFit="1" customWidth="1"/>
    <col min="13826" max="13826" width="15.25" customWidth="1"/>
    <col min="13827" max="13827" width="7.5" bestFit="1" customWidth="1"/>
    <col min="13828" max="13828" width="15.375" bestFit="1" customWidth="1"/>
    <col min="13829" max="13829" width="7.5" bestFit="1" customWidth="1"/>
    <col min="13830" max="13830" width="15.375" bestFit="1" customWidth="1"/>
    <col min="13831" max="13831" width="7.5" bestFit="1" customWidth="1"/>
    <col min="13832" max="13832" width="16.875" bestFit="1" customWidth="1"/>
    <col min="14076" max="14076" width="2.875" customWidth="1"/>
    <col min="14077" max="14077" width="49" customWidth="1"/>
    <col min="14078" max="14078" width="16.875" bestFit="1" customWidth="1"/>
    <col min="14079" max="14079" width="13.625" bestFit="1" customWidth="1"/>
    <col min="14080" max="14080" width="15.375" bestFit="1" customWidth="1"/>
    <col min="14081" max="14081" width="7.5" bestFit="1" customWidth="1"/>
    <col min="14082" max="14082" width="15.25" customWidth="1"/>
    <col min="14083" max="14083" width="7.5" bestFit="1" customWidth="1"/>
    <col min="14084" max="14084" width="15.375" bestFit="1" customWidth="1"/>
    <col min="14085" max="14085" width="7.5" bestFit="1" customWidth="1"/>
    <col min="14086" max="14086" width="15.375" bestFit="1" customWidth="1"/>
    <col min="14087" max="14087" width="7.5" bestFit="1" customWidth="1"/>
    <col min="14088" max="14088" width="16.875" bestFit="1" customWidth="1"/>
    <col min="14332" max="14332" width="2.875" customWidth="1"/>
    <col min="14333" max="14333" width="49" customWidth="1"/>
    <col min="14334" max="14334" width="16.875" bestFit="1" customWidth="1"/>
    <col min="14335" max="14335" width="13.625" bestFit="1" customWidth="1"/>
    <col min="14336" max="14336" width="15.375" bestFit="1" customWidth="1"/>
    <col min="14337" max="14337" width="7.5" bestFit="1" customWidth="1"/>
    <col min="14338" max="14338" width="15.25" customWidth="1"/>
    <col min="14339" max="14339" width="7.5" bestFit="1" customWidth="1"/>
    <col min="14340" max="14340" width="15.375" bestFit="1" customWidth="1"/>
    <col min="14341" max="14341" width="7.5" bestFit="1" customWidth="1"/>
    <col min="14342" max="14342" width="15.375" bestFit="1" customWidth="1"/>
    <col min="14343" max="14343" width="7.5" bestFit="1" customWidth="1"/>
    <col min="14344" max="14344" width="16.875" bestFit="1" customWidth="1"/>
    <col min="14588" max="14588" width="2.875" customWidth="1"/>
    <col min="14589" max="14589" width="49" customWidth="1"/>
    <col min="14590" max="14590" width="16.875" bestFit="1" customWidth="1"/>
    <col min="14591" max="14591" width="13.625" bestFit="1" customWidth="1"/>
    <col min="14592" max="14592" width="15.375" bestFit="1" customWidth="1"/>
    <col min="14593" max="14593" width="7.5" bestFit="1" customWidth="1"/>
    <col min="14594" max="14594" width="15.25" customWidth="1"/>
    <col min="14595" max="14595" width="7.5" bestFit="1" customWidth="1"/>
    <col min="14596" max="14596" width="15.375" bestFit="1" customWidth="1"/>
    <col min="14597" max="14597" width="7.5" bestFit="1" customWidth="1"/>
    <col min="14598" max="14598" width="15.375" bestFit="1" customWidth="1"/>
    <col min="14599" max="14599" width="7.5" bestFit="1" customWidth="1"/>
    <col min="14600" max="14600" width="16.875" bestFit="1" customWidth="1"/>
    <col min="14844" max="14844" width="2.875" customWidth="1"/>
    <col min="14845" max="14845" width="49" customWidth="1"/>
    <col min="14846" max="14846" width="16.875" bestFit="1" customWidth="1"/>
    <col min="14847" max="14847" width="13.625" bestFit="1" customWidth="1"/>
    <col min="14848" max="14848" width="15.375" bestFit="1" customWidth="1"/>
    <col min="14849" max="14849" width="7.5" bestFit="1" customWidth="1"/>
    <col min="14850" max="14850" width="15.25" customWidth="1"/>
    <col min="14851" max="14851" width="7.5" bestFit="1" customWidth="1"/>
    <col min="14852" max="14852" width="15.375" bestFit="1" customWidth="1"/>
    <col min="14853" max="14853" width="7.5" bestFit="1" customWidth="1"/>
    <col min="14854" max="14854" width="15.375" bestFit="1" customWidth="1"/>
    <col min="14855" max="14855" width="7.5" bestFit="1" customWidth="1"/>
    <col min="14856" max="14856" width="16.875" bestFit="1" customWidth="1"/>
    <col min="15100" max="15100" width="2.875" customWidth="1"/>
    <col min="15101" max="15101" width="49" customWidth="1"/>
    <col min="15102" max="15102" width="16.875" bestFit="1" customWidth="1"/>
    <col min="15103" max="15103" width="13.625" bestFit="1" customWidth="1"/>
    <col min="15104" max="15104" width="15.375" bestFit="1" customWidth="1"/>
    <col min="15105" max="15105" width="7.5" bestFit="1" customWidth="1"/>
    <col min="15106" max="15106" width="15.25" customWidth="1"/>
    <col min="15107" max="15107" width="7.5" bestFit="1" customWidth="1"/>
    <col min="15108" max="15108" width="15.375" bestFit="1" customWidth="1"/>
    <col min="15109" max="15109" width="7.5" bestFit="1" customWidth="1"/>
    <col min="15110" max="15110" width="15.375" bestFit="1" customWidth="1"/>
    <col min="15111" max="15111" width="7.5" bestFit="1" customWidth="1"/>
    <col min="15112" max="15112" width="16.875" bestFit="1" customWidth="1"/>
    <col min="15356" max="15356" width="2.875" customWidth="1"/>
    <col min="15357" max="15357" width="49" customWidth="1"/>
    <col min="15358" max="15358" width="16.875" bestFit="1" customWidth="1"/>
    <col min="15359" max="15359" width="13.625" bestFit="1" customWidth="1"/>
    <col min="15360" max="15360" width="15.375" bestFit="1" customWidth="1"/>
    <col min="15361" max="15361" width="7.5" bestFit="1" customWidth="1"/>
    <col min="15362" max="15362" width="15.25" customWidth="1"/>
    <col min="15363" max="15363" width="7.5" bestFit="1" customWidth="1"/>
    <col min="15364" max="15364" width="15.375" bestFit="1" customWidth="1"/>
    <col min="15365" max="15365" width="7.5" bestFit="1" customWidth="1"/>
    <col min="15366" max="15366" width="15.375" bestFit="1" customWidth="1"/>
    <col min="15367" max="15367" width="7.5" bestFit="1" customWidth="1"/>
    <col min="15368" max="15368" width="16.875" bestFit="1" customWidth="1"/>
    <col min="15612" max="15612" width="2.875" customWidth="1"/>
    <col min="15613" max="15613" width="49" customWidth="1"/>
    <col min="15614" max="15614" width="16.875" bestFit="1" customWidth="1"/>
    <col min="15615" max="15615" width="13.625" bestFit="1" customWidth="1"/>
    <col min="15616" max="15616" width="15.375" bestFit="1" customWidth="1"/>
    <col min="15617" max="15617" width="7.5" bestFit="1" customWidth="1"/>
    <col min="15618" max="15618" width="15.25" customWidth="1"/>
    <col min="15619" max="15619" width="7.5" bestFit="1" customWidth="1"/>
    <col min="15620" max="15620" width="15.375" bestFit="1" customWidth="1"/>
    <col min="15621" max="15621" width="7.5" bestFit="1" customWidth="1"/>
    <col min="15622" max="15622" width="15.375" bestFit="1" customWidth="1"/>
    <col min="15623" max="15623" width="7.5" bestFit="1" customWidth="1"/>
    <col min="15624" max="15624" width="16.875" bestFit="1" customWidth="1"/>
    <col min="15868" max="15868" width="2.875" customWidth="1"/>
    <col min="15869" max="15869" width="49" customWidth="1"/>
    <col min="15870" max="15870" width="16.875" bestFit="1" customWidth="1"/>
    <col min="15871" max="15871" width="13.625" bestFit="1" customWidth="1"/>
    <col min="15872" max="15872" width="15.375" bestFit="1" customWidth="1"/>
    <col min="15873" max="15873" width="7.5" bestFit="1" customWidth="1"/>
    <col min="15874" max="15874" width="15.25" customWidth="1"/>
    <col min="15875" max="15875" width="7.5" bestFit="1" customWidth="1"/>
    <col min="15876" max="15876" width="15.375" bestFit="1" customWidth="1"/>
    <col min="15877" max="15877" width="7.5" bestFit="1" customWidth="1"/>
    <col min="15878" max="15878" width="15.375" bestFit="1" customWidth="1"/>
    <col min="15879" max="15879" width="7.5" bestFit="1" customWidth="1"/>
    <col min="15880" max="15880" width="16.875" bestFit="1" customWidth="1"/>
    <col min="16124" max="16124" width="2.875" customWidth="1"/>
    <col min="16125" max="16125" width="49" customWidth="1"/>
    <col min="16126" max="16126" width="16.875" bestFit="1" customWidth="1"/>
    <col min="16127" max="16127" width="13.625" bestFit="1" customWidth="1"/>
    <col min="16128" max="16128" width="15.375" bestFit="1" customWidth="1"/>
    <col min="16129" max="16129" width="7.5" bestFit="1" customWidth="1"/>
    <col min="16130" max="16130" width="15.25" customWidth="1"/>
    <col min="16131" max="16131" width="7.5" bestFit="1" customWidth="1"/>
    <col min="16132" max="16132" width="15.375" bestFit="1" customWidth="1"/>
    <col min="16133" max="16133" width="7.5" bestFit="1" customWidth="1"/>
    <col min="16134" max="16134" width="15.375" bestFit="1" customWidth="1"/>
    <col min="16135" max="16135" width="7.5" bestFit="1" customWidth="1"/>
    <col min="16136" max="16136" width="16.875" bestFit="1" customWidth="1"/>
  </cols>
  <sheetData>
    <row r="1" spans="2:8" s="8" customFormat="1" ht="24.95" customHeight="1" x14ac:dyDescent="0.25">
      <c r="B1" s="6" t="s">
        <v>366</v>
      </c>
      <c r="C1" s="6"/>
      <c r="D1" s="7"/>
      <c r="E1" s="7"/>
      <c r="F1" s="18"/>
      <c r="G1" s="18"/>
      <c r="H1" s="412"/>
    </row>
    <row r="2" spans="2:8" s="8" customFormat="1" ht="24.95" customHeight="1" x14ac:dyDescent="0.25">
      <c r="B2" s="9" t="s">
        <v>527</v>
      </c>
      <c r="C2" s="9"/>
      <c r="D2" s="7"/>
      <c r="E2" s="7"/>
      <c r="F2" s="18"/>
      <c r="G2" s="18"/>
      <c r="H2" s="412"/>
    </row>
    <row r="3" spans="2:8" ht="24.95" customHeight="1" x14ac:dyDescent="0.25">
      <c r="F3" s="411"/>
      <c r="G3" s="58"/>
    </row>
    <row r="4" spans="2:8" s="3" customFormat="1" ht="24.95" customHeight="1" x14ac:dyDescent="0.25">
      <c r="B4" s="32"/>
      <c r="C4" s="32"/>
      <c r="D4" s="58" t="s">
        <v>528</v>
      </c>
      <c r="E4" s="58" t="s">
        <v>529</v>
      </c>
      <c r="F4" s="58" t="s">
        <v>530</v>
      </c>
      <c r="G4" s="58" t="s">
        <v>531</v>
      </c>
      <c r="H4" s="414" t="s">
        <v>372</v>
      </c>
    </row>
    <row r="5" spans="2:8" s="3" customFormat="1" ht="5.25" customHeight="1" x14ac:dyDescent="0.25">
      <c r="B5" s="32"/>
      <c r="C5" s="32"/>
      <c r="D5" s="58"/>
      <c r="E5" s="58"/>
      <c r="F5" s="58"/>
      <c r="G5" s="58"/>
      <c r="H5" s="414"/>
    </row>
    <row r="6" spans="2:8" s="3" customFormat="1" ht="24.95" hidden="1" customHeight="1" x14ac:dyDescent="0.25">
      <c r="B6" s="238" t="s">
        <v>532</v>
      </c>
      <c r="C6" s="239"/>
      <c r="D6" s="240"/>
      <c r="E6" s="248"/>
      <c r="F6" s="248"/>
      <c r="G6" s="248"/>
      <c r="H6" s="431"/>
    </row>
    <row r="7" spans="2:8" s="3" customFormat="1" ht="24.95" hidden="1" customHeight="1" x14ac:dyDescent="0.25">
      <c r="B7" s="241"/>
      <c r="C7" s="244" t="s">
        <v>533</v>
      </c>
      <c r="D7" s="303">
        <v>0</v>
      </c>
      <c r="E7" s="303"/>
      <c r="F7" s="303"/>
      <c r="G7" s="303"/>
      <c r="H7" s="432">
        <f>SUM(D7:G7)</f>
        <v>0</v>
      </c>
    </row>
    <row r="8" spans="2:8" s="3" customFormat="1" ht="24.95" hidden="1" customHeight="1" x14ac:dyDescent="0.25">
      <c r="B8" s="242"/>
      <c r="C8" s="245" t="s">
        <v>534</v>
      </c>
      <c r="D8" s="304"/>
      <c r="E8" s="304"/>
      <c r="F8" s="304"/>
      <c r="G8" s="304"/>
      <c r="H8" s="433">
        <f>SUM(D8:G8)</f>
        <v>0</v>
      </c>
    </row>
    <row r="9" spans="2:8" s="3" customFormat="1" ht="24.95" hidden="1" customHeight="1" thickBot="1" x14ac:dyDescent="0.3">
      <c r="B9" s="881" t="s">
        <v>535</v>
      </c>
      <c r="C9" s="882"/>
      <c r="D9" s="243">
        <f t="shared" ref="D9" si="0">SUM(D6:D8)</f>
        <v>0</v>
      </c>
      <c r="E9" s="243"/>
      <c r="F9" s="243"/>
      <c r="G9" s="243"/>
      <c r="H9" s="434">
        <f t="shared" ref="H9" si="1">SUM(H6:H8)</f>
        <v>0</v>
      </c>
    </row>
    <row r="10" spans="2:8" s="3" customFormat="1" ht="24.95" customHeight="1" thickBot="1" x14ac:dyDescent="0.25"/>
    <row r="11" spans="2:8" s="3" customFormat="1" ht="24.95" hidden="1" customHeight="1" x14ac:dyDescent="0.25">
      <c r="B11" s="508" t="s">
        <v>536</v>
      </c>
      <c r="C11" s="509"/>
      <c r="D11" s="510"/>
      <c r="E11" s="510"/>
      <c r="F11" s="512"/>
      <c r="G11" s="510"/>
      <c r="H11" s="511">
        <f>SUM(D11:G11)</f>
        <v>0</v>
      </c>
    </row>
    <row r="12" spans="2:8" s="3" customFormat="1" ht="24.95" hidden="1" customHeight="1" thickBot="1" x14ac:dyDescent="0.3">
      <c r="B12" s="582" t="s">
        <v>537</v>
      </c>
      <c r="C12" s="583"/>
      <c r="D12" s="584"/>
      <c r="E12" s="584"/>
      <c r="F12" s="584"/>
      <c r="G12" s="584"/>
      <c r="H12" s="585">
        <f>SUM(D12:G12)</f>
        <v>0</v>
      </c>
    </row>
    <row r="13" spans="2:8" s="3" customFormat="1" ht="24.95" customHeight="1" thickBot="1" x14ac:dyDescent="0.3">
      <c r="B13" s="669" t="s">
        <v>538</v>
      </c>
      <c r="C13" s="623"/>
      <c r="D13" s="624"/>
      <c r="E13" s="625">
        <v>1250</v>
      </c>
      <c r="F13" s="624"/>
      <c r="G13" s="624"/>
      <c r="H13" s="626">
        <f>SUM(D13:G13)</f>
        <v>1250</v>
      </c>
    </row>
    <row r="14" spans="2:8" s="3" customFormat="1" ht="24.95" customHeight="1" thickBot="1" x14ac:dyDescent="0.25"/>
    <row r="15" spans="2:8" s="3" customFormat="1" ht="24.95" customHeight="1" x14ac:dyDescent="0.25">
      <c r="B15" s="92" t="s">
        <v>375</v>
      </c>
      <c r="C15" s="276"/>
      <c r="D15" s="277"/>
      <c r="E15" s="278"/>
      <c r="F15" s="277"/>
      <c r="G15" s="278"/>
      <c r="H15" s="429"/>
    </row>
    <row r="16" spans="2:8" s="3" customFormat="1" ht="24.95" hidden="1" customHeight="1" x14ac:dyDescent="0.25">
      <c r="B16" s="254"/>
      <c r="C16" s="280" t="s">
        <v>376</v>
      </c>
      <c r="D16" s="302"/>
      <c r="E16" s="340"/>
      <c r="F16" s="302"/>
      <c r="G16" s="340"/>
      <c r="H16" s="430">
        <f>SUM(D16:G16)</f>
        <v>0</v>
      </c>
    </row>
    <row r="17" spans="2:8" s="3" customFormat="1" ht="24.95" hidden="1" customHeight="1" x14ac:dyDescent="0.25">
      <c r="B17" s="254"/>
      <c r="C17" s="280" t="s">
        <v>377</v>
      </c>
      <c r="D17" s="302"/>
      <c r="E17" s="340"/>
      <c r="F17" s="302"/>
      <c r="G17" s="340"/>
      <c r="H17" s="430">
        <f>ROUND(SUM(D17:G17),5)</f>
        <v>0</v>
      </c>
    </row>
    <row r="18" spans="2:8" s="3" customFormat="1" ht="24.95" customHeight="1" x14ac:dyDescent="0.25">
      <c r="B18" s="254"/>
      <c r="C18" s="280" t="s">
        <v>539</v>
      </c>
      <c r="D18" s="302">
        <v>12234.17</v>
      </c>
      <c r="E18" s="302">
        <v>13001.87</v>
      </c>
      <c r="F18" s="302">
        <v>14780.56</v>
      </c>
      <c r="G18" s="340"/>
      <c r="H18" s="430">
        <f>ROUND(SUM(D18:G18),5)</f>
        <v>40016.6</v>
      </c>
    </row>
    <row r="19" spans="2:8" s="3" customFormat="1" ht="24.95" customHeight="1" thickBot="1" x14ac:dyDescent="0.3">
      <c r="B19" s="144"/>
      <c r="C19" s="281" t="s">
        <v>380</v>
      </c>
      <c r="D19" s="593">
        <f>SUM(D15:D18)</f>
        <v>12234.17</v>
      </c>
      <c r="E19" s="593">
        <f>E18</f>
        <v>13001.87</v>
      </c>
      <c r="F19" s="593">
        <f>SUM(F15:F18)</f>
        <v>14780.56</v>
      </c>
      <c r="G19" s="594">
        <f>SUM(G15:G18)</f>
        <v>0</v>
      </c>
      <c r="H19" s="591">
        <f>SUM(H15:H18)</f>
        <v>40016.6</v>
      </c>
    </row>
    <row r="20" spans="2:8" s="3" customFormat="1" ht="24.95" customHeight="1" thickBot="1" x14ac:dyDescent="0.3">
      <c r="B20" s="32"/>
      <c r="C20" s="32"/>
      <c r="D20" s="58"/>
      <c r="E20" s="58"/>
      <c r="F20" s="58"/>
      <c r="G20" s="58"/>
      <c r="H20" s="414"/>
    </row>
    <row r="21" spans="2:8" s="3" customFormat="1" ht="24.95" customHeight="1" x14ac:dyDescent="0.25">
      <c r="B21" s="89" t="s">
        <v>382</v>
      </c>
      <c r="C21" s="627"/>
      <c r="D21" s="628">
        <v>3602.43</v>
      </c>
      <c r="E21" s="628">
        <v>1773.7</v>
      </c>
      <c r="F21" s="628"/>
      <c r="G21" s="628"/>
      <c r="H21" s="629">
        <f>SUM(D21:G21)</f>
        <v>5376.13</v>
      </c>
    </row>
    <row r="22" spans="2:8" s="3" customFormat="1" ht="24.95" customHeight="1" thickBot="1" x14ac:dyDescent="0.3">
      <c r="B22" s="618" t="s">
        <v>540</v>
      </c>
      <c r="C22" s="673"/>
      <c r="D22" s="137">
        <v>2473.4299999999998</v>
      </c>
      <c r="E22" s="137">
        <v>1376.31</v>
      </c>
      <c r="F22" s="137"/>
      <c r="G22" s="137"/>
      <c r="H22" s="665">
        <f>SUM(D22:G22)</f>
        <v>3849.74</v>
      </c>
    </row>
    <row r="23" spans="2:8" s="3" customFormat="1" ht="24.95" customHeight="1" thickBot="1" x14ac:dyDescent="0.3">
      <c r="B23" s="32"/>
      <c r="C23" s="32"/>
      <c r="D23" s="58"/>
      <c r="E23" s="58"/>
      <c r="F23" s="58"/>
      <c r="G23" s="58"/>
      <c r="H23" s="414"/>
    </row>
    <row r="24" spans="2:8" s="3" customFormat="1" ht="24.95" customHeight="1" thickBot="1" x14ac:dyDescent="0.3">
      <c r="B24" s="680" t="s">
        <v>541</v>
      </c>
      <c r="C24" s="670"/>
      <c r="D24" s="671">
        <v>1250</v>
      </c>
      <c r="E24" s="284"/>
      <c r="F24" s="284"/>
      <c r="G24" s="671"/>
      <c r="H24" s="672">
        <f>SUM(D24:G24)</f>
        <v>1250</v>
      </c>
    </row>
    <row r="25" spans="2:8" s="3" customFormat="1" ht="24.95" customHeight="1" thickBot="1" x14ac:dyDescent="0.3">
      <c r="B25" s="32"/>
      <c r="C25" s="32"/>
      <c r="D25" s="58"/>
      <c r="E25" s="58"/>
      <c r="F25" s="58"/>
      <c r="G25" s="58"/>
      <c r="H25" s="414"/>
    </row>
    <row r="26" spans="2:8" s="3" customFormat="1" ht="24.95" customHeight="1" x14ac:dyDescent="0.25">
      <c r="B26" s="641" t="s">
        <v>386</v>
      </c>
      <c r="C26" s="630"/>
      <c r="D26" s="631"/>
      <c r="E26" s="631"/>
      <c r="F26" s="632"/>
      <c r="G26" s="632"/>
      <c r="H26" s="633"/>
    </row>
    <row r="27" spans="2:8" s="3" customFormat="1" ht="24.95" customHeight="1" x14ac:dyDescent="0.25">
      <c r="B27" s="642"/>
      <c r="C27" s="634" t="s">
        <v>542</v>
      </c>
      <c r="D27" s="635">
        <v>21210.26</v>
      </c>
      <c r="E27" s="635">
        <v>23739.47</v>
      </c>
      <c r="F27" s="636">
        <v>26620.560000000001</v>
      </c>
      <c r="G27" s="636">
        <v>44115.12</v>
      </c>
      <c r="H27" s="637">
        <f>SUM(D27:G27)</f>
        <v>115685.41</v>
      </c>
    </row>
    <row r="28" spans="2:8" s="3" customFormat="1" ht="24.95" customHeight="1" thickBot="1" x14ac:dyDescent="0.3">
      <c r="B28" s="643"/>
      <c r="C28" s="638" t="s">
        <v>389</v>
      </c>
      <c r="D28" s="639">
        <f>SUM(D27:D27)</f>
        <v>21210.26</v>
      </c>
      <c r="E28" s="639">
        <f>SUM(E27:E27)</f>
        <v>23739.47</v>
      </c>
      <c r="F28" s="639">
        <f>SUM(F27:F27)</f>
        <v>26620.560000000001</v>
      </c>
      <c r="G28" s="639"/>
      <c r="H28" s="640">
        <f>SUM(H26:H27)</f>
        <v>115685.41</v>
      </c>
    </row>
    <row r="29" spans="2:8" s="3" customFormat="1" ht="24.95" customHeight="1" thickBot="1" x14ac:dyDescent="0.3">
      <c r="B29" s="32"/>
      <c r="C29" s="32"/>
      <c r="D29" s="58"/>
      <c r="E29" s="58"/>
      <c r="F29" s="58"/>
      <c r="G29" s="58"/>
      <c r="H29" s="414"/>
    </row>
    <row r="30" spans="2:8" s="3" customFormat="1" ht="24.95" customHeight="1" x14ac:dyDescent="0.25">
      <c r="B30" s="857" t="s">
        <v>390</v>
      </c>
      <c r="C30" s="858"/>
      <c r="D30" s="644"/>
      <c r="E30" s="644"/>
      <c r="F30" s="645"/>
      <c r="G30" s="645"/>
      <c r="H30" s="646"/>
    </row>
    <row r="31" spans="2:8" s="3" customFormat="1" ht="24.95" customHeight="1" x14ac:dyDescent="0.25">
      <c r="B31" s="254"/>
      <c r="C31" s="647" t="s">
        <v>543</v>
      </c>
      <c r="D31" s="340">
        <v>10584.18</v>
      </c>
      <c r="E31" s="340">
        <v>12087.09</v>
      </c>
      <c r="F31" s="302">
        <v>11624.58</v>
      </c>
      <c r="G31" s="302">
        <v>339.16</v>
      </c>
      <c r="H31" s="648">
        <f>ROUND(SUM(D31:G31),5)</f>
        <v>34635.01</v>
      </c>
    </row>
    <row r="32" spans="2:8" s="3" customFormat="1" ht="24.95" customHeight="1" thickBot="1" x14ac:dyDescent="0.3">
      <c r="B32" s="649"/>
      <c r="C32" s="281" t="s">
        <v>393</v>
      </c>
      <c r="D32" s="650">
        <f>SUM(D30:D31)</f>
        <v>10584.18</v>
      </c>
      <c r="E32" s="650">
        <f>SUM(E30:E31)</f>
        <v>12087.09</v>
      </c>
      <c r="F32" s="650">
        <f>SUM(F30:F31)</f>
        <v>11624.58</v>
      </c>
      <c r="G32" s="650">
        <f>SUM(G30:G31)</f>
        <v>339.16</v>
      </c>
      <c r="H32" s="651">
        <f>SUM(D32:G32)</f>
        <v>34635.01</v>
      </c>
    </row>
    <row r="33" spans="2:8" s="3" customFormat="1" ht="24.95" customHeight="1" thickBot="1" x14ac:dyDescent="0.25">
      <c r="B33" s="124"/>
      <c r="C33" s="124"/>
      <c r="D33" s="124"/>
      <c r="E33" s="124"/>
      <c r="F33" s="124"/>
      <c r="G33" s="124"/>
      <c r="H33" s="124"/>
    </row>
    <row r="34" spans="2:8" s="3" customFormat="1" ht="24.95" customHeight="1" x14ac:dyDescent="0.25">
      <c r="B34" s="652" t="s">
        <v>394</v>
      </c>
      <c r="C34" s="653"/>
      <c r="D34" s="654"/>
      <c r="E34" s="654"/>
      <c r="F34" s="655"/>
      <c r="G34" s="655"/>
      <c r="H34" s="656"/>
    </row>
    <row r="35" spans="2:8" s="3" customFormat="1" ht="24.95" customHeight="1" x14ac:dyDescent="0.25">
      <c r="B35" s="657"/>
      <c r="C35" s="658" t="s">
        <v>544</v>
      </c>
      <c r="D35" s="659"/>
      <c r="E35" s="117"/>
      <c r="F35" s="660"/>
      <c r="G35" s="118">
        <v>25000</v>
      </c>
      <c r="H35" s="423">
        <f t="shared" ref="H35:H40" si="2">ROUND(SUM(D35:G35),5)</f>
        <v>25000</v>
      </c>
    </row>
    <row r="36" spans="2:8" ht="24.95" customHeight="1" x14ac:dyDescent="0.25">
      <c r="B36" s="661"/>
      <c r="C36" s="658" t="s">
        <v>399</v>
      </c>
      <c r="D36" s="662">
        <f>4166.67-0.14</f>
        <v>4166.53</v>
      </c>
      <c r="E36" s="662">
        <v>4167</v>
      </c>
      <c r="F36" s="118"/>
      <c r="G36" s="118"/>
      <c r="H36" s="423">
        <f t="shared" si="2"/>
        <v>8333.5300000000007</v>
      </c>
    </row>
    <row r="37" spans="2:8" s="147" customFormat="1" ht="24.95" customHeight="1" x14ac:dyDescent="0.25">
      <c r="B37" s="661"/>
      <c r="C37" s="658" t="s">
        <v>395</v>
      </c>
      <c r="D37" s="662">
        <v>4500</v>
      </c>
      <c r="E37" s="662"/>
      <c r="F37" s="118"/>
      <c r="G37" s="118"/>
      <c r="H37" s="423">
        <f t="shared" si="2"/>
        <v>4500</v>
      </c>
    </row>
    <row r="38" spans="2:8" s="59" customFormat="1" ht="24.95" customHeight="1" x14ac:dyDescent="0.25">
      <c r="B38" s="661"/>
      <c r="C38" s="658" t="s">
        <v>398</v>
      </c>
      <c r="D38" s="117"/>
      <c r="E38" s="117"/>
      <c r="F38" s="118"/>
      <c r="G38" s="118"/>
      <c r="H38" s="423">
        <f t="shared" si="2"/>
        <v>0</v>
      </c>
    </row>
    <row r="39" spans="2:8" s="125" customFormat="1" ht="24.95" customHeight="1" x14ac:dyDescent="0.25">
      <c r="B39" s="661"/>
      <c r="C39" s="658" t="s">
        <v>545</v>
      </c>
      <c r="D39" s="117"/>
      <c r="E39" s="117"/>
      <c r="F39" s="118"/>
      <c r="G39" s="118">
        <v>90</v>
      </c>
      <c r="H39" s="423">
        <f t="shared" si="2"/>
        <v>90</v>
      </c>
    </row>
    <row r="40" spans="2:8" s="125" customFormat="1" ht="24.95" customHeight="1" x14ac:dyDescent="0.25">
      <c r="B40" s="661"/>
      <c r="C40" s="78" t="s">
        <v>181</v>
      </c>
      <c r="D40" s="117">
        <v>10500</v>
      </c>
      <c r="E40" s="117">
        <v>17157.98</v>
      </c>
      <c r="F40" s="118">
        <v>14720</v>
      </c>
      <c r="G40" s="118"/>
      <c r="H40" s="423">
        <f t="shared" si="2"/>
        <v>42377.98</v>
      </c>
    </row>
    <row r="41" spans="2:8" s="125" customFormat="1" ht="24.95" customHeight="1" thickBot="1" x14ac:dyDescent="0.3">
      <c r="B41" s="663"/>
      <c r="C41" s="664" t="s">
        <v>402</v>
      </c>
      <c r="D41" s="136">
        <f>SUM(D34:D40)</f>
        <v>19166.53</v>
      </c>
      <c r="E41" s="136">
        <f>SUM(E34:E40)</f>
        <v>21324.98</v>
      </c>
      <c r="F41" s="136">
        <f>SUM(F34:F40)</f>
        <v>14720</v>
      </c>
      <c r="G41" s="136">
        <f>SUM(G34:G40)</f>
        <v>25090</v>
      </c>
      <c r="H41" s="665">
        <f>SUM(H34:H40)</f>
        <v>80301.510000000009</v>
      </c>
    </row>
    <row r="42" spans="2:8" s="125" customFormat="1" ht="24.95" hidden="1" customHeight="1" x14ac:dyDescent="0.2">
      <c r="B42" s="124"/>
      <c r="C42" s="124"/>
      <c r="D42" s="124"/>
      <c r="E42" s="124"/>
      <c r="F42" s="124"/>
      <c r="G42" s="124"/>
      <c r="H42" s="124"/>
    </row>
    <row r="43" spans="2:8" s="125" customFormat="1" ht="24.95" hidden="1" customHeight="1" x14ac:dyDescent="0.2">
      <c r="B43" s="124"/>
      <c r="C43" s="124"/>
      <c r="D43" s="124"/>
      <c r="E43" s="124"/>
      <c r="F43" s="124"/>
      <c r="G43" s="124"/>
      <c r="H43" s="124"/>
    </row>
    <row r="44" spans="2:8" s="125" customFormat="1" ht="24.95" hidden="1" customHeight="1" x14ac:dyDescent="0.2">
      <c r="B44" s="124"/>
      <c r="C44" s="124"/>
      <c r="D44" s="124"/>
      <c r="E44" s="124"/>
      <c r="F44" s="124"/>
      <c r="G44" s="124"/>
      <c r="H44" s="124"/>
    </row>
    <row r="45" spans="2:8" s="125" customFormat="1" ht="24.95" hidden="1" customHeight="1" thickBot="1" x14ac:dyDescent="0.3">
      <c r="B45" s="60"/>
      <c r="C45" s="124"/>
      <c r="D45" s="124"/>
      <c r="E45" s="124"/>
      <c r="F45" s="124"/>
      <c r="G45" s="124"/>
      <c r="H45" s="124"/>
    </row>
    <row r="46" spans="2:8" s="125" customFormat="1" ht="24.95" hidden="1" customHeight="1" x14ac:dyDescent="0.25">
      <c r="B46" s="79" t="s">
        <v>546</v>
      </c>
      <c r="C46" s="80"/>
      <c r="D46" s="104"/>
      <c r="E46" s="104"/>
      <c r="F46" s="105"/>
      <c r="G46" s="105"/>
      <c r="H46" s="415"/>
    </row>
    <row r="47" spans="2:8" s="125" customFormat="1" ht="24.95" hidden="1" customHeight="1" x14ac:dyDescent="0.25">
      <c r="B47" s="81"/>
      <c r="C47" s="62" t="s">
        <v>547</v>
      </c>
      <c r="D47" s="106"/>
      <c r="E47" s="106"/>
      <c r="F47" s="106"/>
      <c r="G47" s="107"/>
      <c r="H47" s="416">
        <f>ROUND(SUM(D47:G47),5)</f>
        <v>0</v>
      </c>
    </row>
    <row r="48" spans="2:8" s="125" customFormat="1" ht="24.95" hidden="1" customHeight="1" thickBot="1" x14ac:dyDescent="0.3">
      <c r="B48" s="126"/>
      <c r="C48" s="127" t="s">
        <v>548</v>
      </c>
      <c r="D48" s="128"/>
      <c r="E48" s="128"/>
      <c r="F48" s="128"/>
      <c r="G48" s="472">
        <f>SUM(G45:G47)</f>
        <v>0</v>
      </c>
      <c r="H48" s="472">
        <f>ROUND(SUM(H46:H47),5)</f>
        <v>0</v>
      </c>
    </row>
    <row r="49" spans="2:8" s="125" customFormat="1" ht="24.95" hidden="1" customHeight="1" thickBot="1" x14ac:dyDescent="0.3">
      <c r="B49" s="60"/>
      <c r="C49" s="60"/>
      <c r="D49" s="108"/>
      <c r="E49" s="108"/>
      <c r="F49" s="108"/>
      <c r="G49" s="108"/>
      <c r="H49" s="417"/>
    </row>
    <row r="50" spans="2:8" s="125" customFormat="1" ht="24.95" hidden="1" customHeight="1" x14ac:dyDescent="0.25">
      <c r="B50" s="82" t="s">
        <v>549</v>
      </c>
      <c r="C50" s="83"/>
      <c r="D50" s="110"/>
      <c r="E50" s="110"/>
      <c r="F50" s="111"/>
      <c r="G50" s="111"/>
      <c r="H50" s="418"/>
    </row>
    <row r="51" spans="2:8" s="125" customFormat="1" ht="24.95" hidden="1" customHeight="1" x14ac:dyDescent="0.25">
      <c r="B51" s="84"/>
      <c r="C51" s="64" t="s">
        <v>550</v>
      </c>
      <c r="D51" s="112"/>
      <c r="E51" s="112"/>
      <c r="F51" s="113"/>
      <c r="G51" s="113"/>
      <c r="H51" s="419">
        <f t="shared" ref="H51:H54" si="3">ROUND(SUM(D51:G51),5)</f>
        <v>0</v>
      </c>
    </row>
    <row r="52" spans="2:8" s="3" customFormat="1" ht="24.95" hidden="1" customHeight="1" x14ac:dyDescent="0.25">
      <c r="B52" s="84"/>
      <c r="C52" s="64" t="s">
        <v>551</v>
      </c>
      <c r="D52" s="112"/>
      <c r="E52" s="112"/>
      <c r="F52" s="113"/>
      <c r="G52" s="113"/>
      <c r="H52" s="419">
        <f t="shared" si="3"/>
        <v>0</v>
      </c>
    </row>
    <row r="53" spans="2:8" s="61" customFormat="1" ht="24.95" hidden="1" customHeight="1" x14ac:dyDescent="0.25">
      <c r="B53" s="84"/>
      <c r="C53" s="64" t="s">
        <v>552</v>
      </c>
      <c r="D53" s="112"/>
      <c r="E53" s="112"/>
      <c r="F53" s="113"/>
      <c r="G53" s="113"/>
      <c r="H53" s="419"/>
    </row>
    <row r="54" spans="2:8" s="61" customFormat="1" ht="24.95" hidden="1" customHeight="1" x14ac:dyDescent="0.25">
      <c r="B54" s="84"/>
      <c r="C54" s="64" t="s">
        <v>553</v>
      </c>
      <c r="D54" s="112"/>
      <c r="E54" s="112"/>
      <c r="F54" s="113"/>
      <c r="G54" s="113"/>
      <c r="H54" s="419">
        <f t="shared" si="3"/>
        <v>0</v>
      </c>
    </row>
    <row r="55" spans="2:8" s="129" customFormat="1" ht="24.95" hidden="1" customHeight="1" x14ac:dyDescent="0.25">
      <c r="B55" s="84"/>
      <c r="C55" s="64" t="s">
        <v>554</v>
      </c>
      <c r="D55" s="112"/>
      <c r="E55" s="112"/>
      <c r="F55" s="113"/>
      <c r="G55" s="113"/>
      <c r="H55" s="419"/>
    </row>
    <row r="56" spans="2:8" s="3" customFormat="1" ht="24.95" hidden="1" customHeight="1" x14ac:dyDescent="0.25">
      <c r="B56" s="85"/>
      <c r="C56" s="77" t="s">
        <v>555</v>
      </c>
      <c r="D56" s="112"/>
      <c r="E56" s="112"/>
      <c r="F56" s="113"/>
      <c r="G56" s="113"/>
      <c r="H56" s="419"/>
    </row>
    <row r="57" spans="2:8" s="63" customFormat="1" ht="24.95" hidden="1" customHeight="1" thickBot="1" x14ac:dyDescent="0.3">
      <c r="B57" s="130"/>
      <c r="C57" s="131" t="s">
        <v>556</v>
      </c>
      <c r="D57" s="132"/>
      <c r="E57" s="132"/>
      <c r="F57" s="132"/>
      <c r="G57" s="132"/>
      <c r="H57" s="420"/>
    </row>
    <row r="58" spans="2:8" s="63" customFormat="1" ht="24.95" hidden="1" customHeight="1" thickBot="1" x14ac:dyDescent="0.3">
      <c r="B58" s="60"/>
      <c r="C58" s="66"/>
      <c r="D58" s="114"/>
      <c r="E58" s="114"/>
      <c r="F58" s="114"/>
      <c r="G58" s="114"/>
      <c r="H58" s="421"/>
    </row>
    <row r="59" spans="2:8" s="63" customFormat="1" ht="24.95" hidden="1" customHeight="1" x14ac:dyDescent="0.25">
      <c r="B59" s="86" t="s">
        <v>557</v>
      </c>
      <c r="C59" s="87"/>
      <c r="D59" s="115"/>
      <c r="E59" s="115"/>
      <c r="F59" s="116"/>
      <c r="G59" s="116"/>
      <c r="H59" s="422"/>
    </row>
    <row r="60" spans="2:8" s="63" customFormat="1" ht="24.95" hidden="1" customHeight="1" x14ac:dyDescent="0.25">
      <c r="B60" s="88"/>
      <c r="C60" s="78" t="s">
        <v>558</v>
      </c>
      <c r="D60" s="117"/>
      <c r="E60" s="117"/>
      <c r="F60" s="118"/>
      <c r="G60" s="118"/>
      <c r="H60" s="423"/>
    </row>
    <row r="61" spans="2:8" s="63" customFormat="1" ht="24.95" hidden="1" customHeight="1" thickBot="1" x14ac:dyDescent="0.3">
      <c r="B61" s="134"/>
      <c r="C61" s="135" t="s">
        <v>559</v>
      </c>
      <c r="D61" s="136"/>
      <c r="E61" s="137"/>
      <c r="F61" s="137"/>
      <c r="G61" s="137">
        <f>SUM(G59:G60)</f>
        <v>0</v>
      </c>
      <c r="H61" s="424">
        <f>ROUND(SUM(D61:G61),5)</f>
        <v>0</v>
      </c>
    </row>
    <row r="62" spans="2:8" s="63" customFormat="1" ht="24.95" hidden="1" customHeight="1" x14ac:dyDescent="0.25">
      <c r="B62" s="60"/>
      <c r="C62" s="60"/>
      <c r="D62" s="108"/>
      <c r="E62" s="108"/>
      <c r="F62" s="108"/>
      <c r="G62" s="108"/>
      <c r="H62" s="417"/>
    </row>
    <row r="63" spans="2:8" s="65" customFormat="1" ht="24.95" hidden="1" customHeight="1" x14ac:dyDescent="0.2">
      <c r="B63" s="68"/>
      <c r="C63" s="68"/>
      <c r="D63" s="68"/>
      <c r="E63" s="68"/>
      <c r="F63" s="68"/>
      <c r="G63" s="68"/>
      <c r="H63" s="68"/>
    </row>
    <row r="64" spans="2:8" s="133" customFormat="1" ht="24.95" hidden="1" customHeight="1" x14ac:dyDescent="0.2">
      <c r="B64" s="68"/>
      <c r="C64" s="68"/>
      <c r="D64" s="68"/>
      <c r="E64" s="68"/>
      <c r="F64" s="68"/>
      <c r="G64" s="68"/>
      <c r="H64" s="68"/>
    </row>
    <row r="65" spans="2:8" s="3" customFormat="1" ht="24.95" hidden="1" customHeight="1" x14ac:dyDescent="0.2">
      <c r="B65" s="142"/>
      <c r="C65" s="142"/>
      <c r="D65" s="142"/>
      <c r="E65" s="142"/>
      <c r="F65" s="142"/>
      <c r="G65" s="142"/>
      <c r="H65" s="142"/>
    </row>
    <row r="66" spans="2:8" s="67" customFormat="1" ht="24.95" hidden="1" customHeight="1" thickBot="1" x14ac:dyDescent="0.3">
      <c r="B66" s="69"/>
      <c r="C66" s="69"/>
      <c r="D66" s="114"/>
      <c r="E66" s="114"/>
      <c r="F66" s="114"/>
      <c r="G66" s="114"/>
      <c r="H66" s="421"/>
    </row>
    <row r="67" spans="2:8" s="67" customFormat="1" ht="24.95" hidden="1" customHeight="1" x14ac:dyDescent="0.25">
      <c r="B67" s="89" t="s">
        <v>560</v>
      </c>
      <c r="C67" s="90"/>
      <c r="D67" s="121"/>
      <c r="E67" s="121"/>
      <c r="F67" s="122"/>
      <c r="G67" s="122"/>
      <c r="H67" s="427"/>
    </row>
    <row r="68" spans="2:8" s="138" customFormat="1" ht="24.95" hidden="1" customHeight="1" x14ac:dyDescent="0.25">
      <c r="B68" s="91"/>
      <c r="C68" s="71" t="s">
        <v>561</v>
      </c>
      <c r="D68" s="119"/>
      <c r="E68" s="119"/>
      <c r="F68" s="120"/>
      <c r="G68" s="120"/>
      <c r="H68" s="425"/>
    </row>
    <row r="69" spans="2:8" s="3" customFormat="1" ht="24.95" hidden="1" customHeight="1" thickBot="1" x14ac:dyDescent="0.3">
      <c r="B69" s="143"/>
      <c r="C69" s="139" t="s">
        <v>562</v>
      </c>
      <c r="D69" s="140"/>
      <c r="E69" s="140"/>
      <c r="F69" s="140"/>
      <c r="G69" s="140"/>
      <c r="H69" s="426"/>
    </row>
    <row r="70" spans="2:8" s="72" customFormat="1" ht="24.95" hidden="1" customHeight="1" thickBot="1" x14ac:dyDescent="0.3">
      <c r="B70" s="69"/>
      <c r="C70" s="69"/>
      <c r="D70" s="114"/>
      <c r="E70" s="114"/>
      <c r="F70" s="114"/>
      <c r="G70" s="114"/>
      <c r="H70" s="421"/>
    </row>
    <row r="71" spans="2:8" s="145" customFormat="1" ht="24.95" hidden="1" customHeight="1" thickBot="1" x14ac:dyDescent="0.3">
      <c r="B71" s="310" t="s">
        <v>563</v>
      </c>
      <c r="C71" s="307"/>
      <c r="D71" s="308"/>
      <c r="E71" s="309"/>
      <c r="F71" s="309"/>
      <c r="G71" s="309"/>
      <c r="H71" s="435">
        <f>SUM(D71:G71)</f>
        <v>0</v>
      </c>
    </row>
    <row r="72" spans="2:8" ht="24.95" hidden="1" customHeight="1" x14ac:dyDescent="0.25">
      <c r="B72" s="69"/>
      <c r="C72" s="69"/>
      <c r="D72" s="114"/>
      <c r="E72" s="114"/>
      <c r="F72" s="114"/>
      <c r="G72" s="114"/>
      <c r="H72" s="421"/>
    </row>
    <row r="73" spans="2:8" ht="24.95" hidden="1" customHeight="1" x14ac:dyDescent="0.25">
      <c r="B73" s="69"/>
      <c r="C73" s="69"/>
      <c r="D73" s="114"/>
      <c r="E73" s="114"/>
      <c r="F73" s="114"/>
      <c r="G73" s="114"/>
      <c r="H73" s="421"/>
    </row>
    <row r="74" spans="2:8" ht="24.95" hidden="1" customHeight="1" x14ac:dyDescent="0.25"/>
    <row r="75" spans="2:8" s="74" customFormat="1" ht="24.95" hidden="1" customHeight="1" x14ac:dyDescent="0.2"/>
    <row r="76" spans="2:8" s="74" customFormat="1" ht="24.95" hidden="1" customHeight="1" thickBot="1" x14ac:dyDescent="0.3">
      <c r="B76"/>
      <c r="C76"/>
      <c r="D76" s="282"/>
      <c r="E76" s="114"/>
      <c r="F76" s="114"/>
      <c r="G76" s="114"/>
      <c r="H76" s="421"/>
    </row>
    <row r="77" spans="2:8" s="74" customFormat="1" ht="24.95" hidden="1" customHeight="1" thickBot="1" x14ac:dyDescent="0.3">
      <c r="B77" s="306" t="s">
        <v>564</v>
      </c>
      <c r="C77" s="305"/>
      <c r="D77" s="283"/>
      <c r="E77" s="284"/>
      <c r="F77" s="284"/>
      <c r="G77" s="284"/>
      <c r="H77" s="436">
        <f>SUM(D77:G77)</f>
        <v>0</v>
      </c>
    </row>
    <row r="78" spans="2:8" s="74" customFormat="1" ht="24.95" hidden="1" customHeight="1" x14ac:dyDescent="0.25">
      <c r="B78" s="595" t="s">
        <v>565</v>
      </c>
      <c r="C78" s="596"/>
      <c r="D78" s="616"/>
      <c r="E78" s="597"/>
      <c r="F78" s="597"/>
      <c r="G78" s="608"/>
      <c r="H78" s="614">
        <f>SUM(D78:G78)</f>
        <v>0</v>
      </c>
    </row>
    <row r="79" spans="2:8" ht="24.95" hidden="1" customHeight="1" x14ac:dyDescent="0.25"/>
    <row r="80" spans="2:8" s="74" customFormat="1" ht="24.95" hidden="1" customHeight="1" x14ac:dyDescent="0.25">
      <c r="B80" s="859" t="s">
        <v>403</v>
      </c>
      <c r="C80" s="860"/>
      <c r="D80" s="612"/>
      <c r="E80" s="612"/>
      <c r="F80" s="612"/>
      <c r="G80" s="613"/>
      <c r="H80" s="615">
        <f>SUM(D80:G80)</f>
        <v>0</v>
      </c>
    </row>
    <row r="81" spans="2:8" ht="24.95" hidden="1" customHeight="1" thickBot="1" x14ac:dyDescent="0.3">
      <c r="B81" s="598" t="s">
        <v>404</v>
      </c>
      <c r="C81" s="599"/>
      <c r="D81" s="600"/>
      <c r="E81" s="601"/>
      <c r="F81" s="601"/>
      <c r="G81" s="609"/>
      <c r="H81" s="602">
        <f>SUM(D81:G81)</f>
        <v>0</v>
      </c>
    </row>
    <row r="82" spans="2:8" s="74" customFormat="1" ht="24.95" hidden="1" customHeight="1" thickBot="1" x14ac:dyDescent="0.3">
      <c r="B82" s="437"/>
      <c r="C82" s="437"/>
      <c r="D82" s="282"/>
      <c r="E82" s="114"/>
      <c r="F82" s="114"/>
      <c r="G82" s="610"/>
      <c r="H82" s="421"/>
    </row>
    <row r="83" spans="2:8" s="74" customFormat="1" ht="24.95" hidden="1" customHeight="1" thickBot="1" x14ac:dyDescent="0.3">
      <c r="B83" s="603" t="s">
        <v>566</v>
      </c>
      <c r="C83" s="604"/>
      <c r="D83" s="605"/>
      <c r="E83" s="606"/>
      <c r="F83" s="606"/>
      <c r="G83" s="611"/>
      <c r="H83" s="607">
        <f>SUM(D83:G83)</f>
        <v>0</v>
      </c>
    </row>
    <row r="84" spans="2:8" s="74" customFormat="1" ht="24.95" hidden="1" customHeight="1" x14ac:dyDescent="0.25">
      <c r="B84" s="437"/>
      <c r="C84" s="437"/>
      <c r="D84" s="282"/>
      <c r="E84" s="114"/>
      <c r="F84" s="114"/>
      <c r="G84" s="114"/>
      <c r="H84" s="421"/>
    </row>
    <row r="85" spans="2:8" s="74" customFormat="1" ht="24.95" hidden="1" customHeight="1" x14ac:dyDescent="0.2"/>
    <row r="86" spans="2:8" s="74" customFormat="1" ht="24.95" hidden="1" customHeight="1" x14ac:dyDescent="0.2"/>
    <row r="87" spans="2:8" s="74" customFormat="1" ht="24.95" hidden="1" customHeight="1" x14ac:dyDescent="0.2"/>
    <row r="88" spans="2:8" s="74" customFormat="1" ht="24.95" customHeight="1" thickBot="1" x14ac:dyDescent="0.3">
      <c r="B88" s="73"/>
      <c r="C88" s="73"/>
      <c r="D88" s="109"/>
      <c r="E88" s="109"/>
      <c r="F88" s="109"/>
      <c r="G88" s="109"/>
      <c r="H88" s="428"/>
    </row>
    <row r="89" spans="2:8" s="74" customFormat="1" ht="24.95" customHeight="1" thickBot="1" x14ac:dyDescent="0.3">
      <c r="B89" s="666"/>
      <c r="C89" s="667" t="s">
        <v>567</v>
      </c>
      <c r="D89" s="668">
        <f>SUM(D32+D48+D57+D61+D28+D41+D9)+D69+D19+D22+D77+D71+D83+D81+D13+D78+D80+D24</f>
        <v>66918.569999999992</v>
      </c>
      <c r="E89" s="668">
        <f>SUM(E32+E48+E57+E61+F28+E41+E9)+E69+E19+E22+E77+E71+E83+E81+E13+E78+E80+E24</f>
        <v>75660.81</v>
      </c>
      <c r="F89" s="668">
        <f>SUM(F32+F48+F57+F61+F28+F41+F9)+F69+F19+F22+F77+F71+F83+F81+F13+F78+F80+F24</f>
        <v>67745.7</v>
      </c>
      <c r="G89" s="668">
        <f>SUM(G32+G48+G57+G61+G28+G41+G9)+G69+G19+G22+G77+G71+G83+G81+G13+G78+G80+G24</f>
        <v>25429.16</v>
      </c>
      <c r="H89" s="668">
        <f>SUM(H32+H48+H57+H61+H28+H41+H9)+H69+H19+H22+H77+H71+H83+H81+H13+H78+H80+H24+H21</f>
        <v>282364.40000000002</v>
      </c>
    </row>
    <row r="90" spans="2:8" s="74" customFormat="1" ht="24.95" customHeight="1" x14ac:dyDescent="0.25">
      <c r="B90" s="448"/>
      <c r="C90" s="449"/>
      <c r="D90" s="450"/>
      <c r="E90" s="450"/>
      <c r="F90" s="450"/>
      <c r="G90" s="450"/>
      <c r="H90" s="451"/>
    </row>
    <row r="91" spans="2:8" ht="24.95" customHeight="1" x14ac:dyDescent="0.25">
      <c r="B91" s="75"/>
      <c r="C91" s="446" t="s">
        <v>407</v>
      </c>
      <c r="D91" s="447">
        <f>D89/H$89</f>
        <v>0.23699365075767337</v>
      </c>
      <c r="E91" s="447">
        <f>E89/$H89</f>
        <v>0.26795449426344109</v>
      </c>
      <c r="F91" s="447">
        <f t="shared" ref="F91:H91" si="4">F89/$H89</f>
        <v>0.23992295062692037</v>
      </c>
      <c r="G91" s="447">
        <f t="shared" si="4"/>
        <v>9.005795348138787E-2</v>
      </c>
      <c r="H91" s="447">
        <f t="shared" si="4"/>
        <v>1</v>
      </c>
    </row>
    <row r="92" spans="2:8" ht="24.95" customHeight="1" x14ac:dyDescent="0.25">
      <c r="B92" s="75"/>
      <c r="C92" s="75"/>
      <c r="D92" s="123"/>
      <c r="E92" s="123"/>
      <c r="F92" s="123"/>
      <c r="G92" s="123"/>
    </row>
    <row r="93" spans="2:8" ht="24.95" customHeight="1" x14ac:dyDescent="0.25">
      <c r="C93" s="214" t="s">
        <v>568</v>
      </c>
      <c r="D93" s="123"/>
      <c r="E93" s="123"/>
      <c r="F93" s="123"/>
      <c r="G93" s="123"/>
    </row>
    <row r="94" spans="2:8" s="124" customFormat="1" ht="20.100000000000001" customHeight="1" x14ac:dyDescent="0.25">
      <c r="B94" s="33"/>
      <c r="C94" s="360" t="s">
        <v>569</v>
      </c>
      <c r="D94" s="362">
        <v>21555.05</v>
      </c>
      <c r="E94" s="123"/>
      <c r="F94" s="123"/>
      <c r="G94" s="123"/>
      <c r="H94" s="413"/>
    </row>
    <row r="95" spans="2:8" ht="20.100000000000001" customHeight="1" x14ac:dyDescent="0.25">
      <c r="C95" s="360" t="s">
        <v>570</v>
      </c>
      <c r="D95" s="362">
        <f>H21</f>
        <v>5376.13</v>
      </c>
      <c r="E95" s="123"/>
      <c r="F95" s="123"/>
      <c r="G95" s="123"/>
    </row>
    <row r="96" spans="2:8" ht="20.100000000000001" customHeight="1" x14ac:dyDescent="0.25">
      <c r="C96" s="360" t="s">
        <v>540</v>
      </c>
      <c r="D96" s="362">
        <f>H22</f>
        <v>3849.74</v>
      </c>
      <c r="E96" s="123"/>
      <c r="F96" s="123"/>
      <c r="G96" s="123"/>
    </row>
    <row r="97" spans="3:7" ht="20.100000000000001" customHeight="1" x14ac:dyDescent="0.25">
      <c r="C97" s="360" t="s">
        <v>571</v>
      </c>
      <c r="D97" s="362">
        <v>13002</v>
      </c>
      <c r="E97" s="123"/>
      <c r="F97" s="123"/>
      <c r="G97" s="123"/>
    </row>
    <row r="98" spans="3:7" ht="20.100000000000001" customHeight="1" x14ac:dyDescent="0.25">
      <c r="C98" s="103" t="s">
        <v>572</v>
      </c>
      <c r="D98" s="246">
        <f>SUM(D94:D97)</f>
        <v>43782.92</v>
      </c>
      <c r="E98" s="123"/>
      <c r="F98" s="123"/>
      <c r="G98" s="123"/>
    </row>
    <row r="99" spans="3:7" ht="20.100000000000001" customHeight="1" x14ac:dyDescent="0.25">
      <c r="D99" s="123"/>
      <c r="E99" s="123"/>
      <c r="F99" s="123"/>
      <c r="G99" s="123"/>
    </row>
    <row r="100" spans="3:7" ht="20.100000000000001" customHeight="1" thickBot="1" x14ac:dyDescent="0.3">
      <c r="C100" s="103" t="s">
        <v>573</v>
      </c>
      <c r="D100" s="263">
        <f>H89-D98</f>
        <v>238581.48000000004</v>
      </c>
      <c r="E100" s="123"/>
      <c r="F100" s="123"/>
      <c r="G100" s="123"/>
    </row>
    <row r="101" spans="3:7" ht="20.100000000000001" customHeight="1" thickTop="1" x14ac:dyDescent="0.25">
      <c r="D101" s="123"/>
      <c r="E101" s="123"/>
      <c r="F101" s="123"/>
      <c r="G101" s="123"/>
    </row>
    <row r="102" spans="3:7" ht="20.100000000000001" customHeight="1" x14ac:dyDescent="0.25">
      <c r="C102" s="214" t="s">
        <v>413</v>
      </c>
      <c r="D102" s="123"/>
      <c r="E102" s="123"/>
      <c r="F102" s="123"/>
      <c r="G102" s="123"/>
    </row>
    <row r="103" spans="3:7" ht="20.100000000000001" customHeight="1" x14ac:dyDescent="0.25">
      <c r="C103" s="361" t="s">
        <v>574</v>
      </c>
      <c r="D103" s="362">
        <v>52000</v>
      </c>
      <c r="E103" s="123"/>
      <c r="F103" s="123"/>
      <c r="G103" s="123"/>
    </row>
    <row r="104" spans="3:7" ht="20.100000000000001" customHeight="1" x14ac:dyDescent="0.25">
      <c r="C104" s="361" t="s">
        <v>575</v>
      </c>
      <c r="D104" s="362">
        <v>51500</v>
      </c>
      <c r="E104" s="123"/>
      <c r="F104" s="123"/>
      <c r="G104" s="123"/>
    </row>
    <row r="105" spans="3:7" ht="20.100000000000001" customHeight="1" x14ac:dyDescent="0.25">
      <c r="C105" s="361" t="s">
        <v>576</v>
      </c>
      <c r="D105" s="362">
        <v>17500</v>
      </c>
      <c r="E105" s="123"/>
      <c r="F105" s="123"/>
      <c r="G105" s="123"/>
    </row>
    <row r="106" spans="3:7" ht="20.100000000000001" customHeight="1" x14ac:dyDescent="0.25">
      <c r="C106" s="361" t="s">
        <v>577</v>
      </c>
      <c r="D106" s="362">
        <v>25000</v>
      </c>
      <c r="E106" s="123"/>
      <c r="F106" s="123"/>
      <c r="G106" s="123"/>
    </row>
    <row r="107" spans="3:7" ht="20.100000000000001" customHeight="1" x14ac:dyDescent="0.25">
      <c r="C107" s="361" t="s">
        <v>578</v>
      </c>
      <c r="D107" s="362">
        <v>25000</v>
      </c>
      <c r="E107" s="123"/>
      <c r="F107" s="123"/>
      <c r="G107" s="123"/>
    </row>
    <row r="108" spans="3:7" ht="20.100000000000001" customHeight="1" x14ac:dyDescent="0.25">
      <c r="C108" s="361" t="s">
        <v>579</v>
      </c>
      <c r="D108" s="362">
        <v>125000</v>
      </c>
      <c r="E108" s="123"/>
      <c r="F108" s="123"/>
      <c r="G108" s="123"/>
    </row>
    <row r="109" spans="3:7" ht="20.100000000000001" customHeight="1" x14ac:dyDescent="0.25">
      <c r="C109" s="361"/>
      <c r="D109" s="362"/>
      <c r="E109" s="123"/>
      <c r="F109" s="123"/>
      <c r="G109" s="123"/>
    </row>
    <row r="110" spans="3:7" ht="20.100000000000001" customHeight="1" x14ac:dyDescent="0.25">
      <c r="C110" s="361"/>
      <c r="D110" s="362"/>
      <c r="E110" s="123"/>
      <c r="F110" s="123"/>
      <c r="G110" s="123"/>
    </row>
    <row r="111" spans="3:7" ht="20.100000000000001" customHeight="1" x14ac:dyDescent="0.25">
      <c r="C111" s="361"/>
      <c r="D111" s="362"/>
      <c r="E111" s="123"/>
      <c r="F111" s="123"/>
      <c r="G111" s="123"/>
    </row>
    <row r="112" spans="3:7" ht="16.5" customHeight="1" x14ac:dyDescent="0.25">
      <c r="C112" s="361"/>
      <c r="D112" s="362"/>
      <c r="E112" s="123"/>
      <c r="F112" s="123"/>
      <c r="G112" s="123"/>
    </row>
    <row r="113" spans="3:7" ht="16.5" customHeight="1" x14ac:dyDescent="0.25">
      <c r="C113" s="361"/>
      <c r="D113" s="362"/>
      <c r="E113" s="123"/>
      <c r="F113" s="123"/>
      <c r="G113" s="123"/>
    </row>
    <row r="114" spans="3:7" ht="16.5" hidden="1" customHeight="1" x14ac:dyDescent="0.25">
      <c r="C114" s="361"/>
      <c r="D114" s="362"/>
      <c r="E114" s="123"/>
      <c r="F114" s="123"/>
      <c r="G114" s="123"/>
    </row>
    <row r="115" spans="3:7" ht="16.5" hidden="1" customHeight="1" x14ac:dyDescent="0.25">
      <c r="C115" s="361"/>
      <c r="D115" s="362"/>
      <c r="E115" s="123"/>
      <c r="F115" s="123"/>
      <c r="G115" s="123"/>
    </row>
    <row r="116" spans="3:7" ht="16.5" hidden="1" customHeight="1" x14ac:dyDescent="0.25">
      <c r="C116" s="361"/>
      <c r="D116" s="362"/>
      <c r="E116" s="123"/>
      <c r="F116" s="123"/>
      <c r="G116" s="123"/>
    </row>
    <row r="117" spans="3:7" ht="16.5" hidden="1" customHeight="1" x14ac:dyDescent="0.25">
      <c r="C117" s="361"/>
      <c r="D117" s="362"/>
      <c r="E117" s="123"/>
      <c r="F117" s="123"/>
      <c r="G117" s="123"/>
    </row>
    <row r="118" spans="3:7" ht="16.5" hidden="1" customHeight="1" x14ac:dyDescent="0.25">
      <c r="C118" s="361"/>
      <c r="D118" s="362"/>
      <c r="E118" s="123"/>
      <c r="F118" s="123"/>
      <c r="G118" s="123"/>
    </row>
    <row r="119" spans="3:7" ht="16.5" hidden="1" customHeight="1" x14ac:dyDescent="0.25">
      <c r="C119" s="361"/>
      <c r="D119" s="362"/>
      <c r="E119" s="123"/>
      <c r="F119" s="123"/>
      <c r="G119" s="123"/>
    </row>
    <row r="120" spans="3:7" ht="16.5" hidden="1" customHeight="1" x14ac:dyDescent="0.25">
      <c r="C120" s="361"/>
      <c r="D120" s="362"/>
      <c r="E120" s="123"/>
      <c r="F120" s="123"/>
      <c r="G120" s="123"/>
    </row>
    <row r="121" spans="3:7" ht="16.5" hidden="1" customHeight="1" x14ac:dyDescent="0.25">
      <c r="C121" s="361"/>
      <c r="D121" s="362"/>
      <c r="E121" s="123"/>
      <c r="F121" s="123"/>
      <c r="G121" s="123"/>
    </row>
    <row r="122" spans="3:7" ht="16.5" hidden="1" customHeight="1" x14ac:dyDescent="0.25">
      <c r="C122" s="361"/>
      <c r="D122" s="362"/>
      <c r="E122" s="123"/>
      <c r="F122" s="123"/>
      <c r="G122" s="123"/>
    </row>
    <row r="123" spans="3:7" ht="16.5" hidden="1" customHeight="1" x14ac:dyDescent="0.25">
      <c r="C123" s="361"/>
      <c r="D123" s="362"/>
      <c r="E123" s="123"/>
      <c r="F123" s="123"/>
      <c r="G123" s="123"/>
    </row>
    <row r="124" spans="3:7" ht="16.5" hidden="1" customHeight="1" x14ac:dyDescent="0.25">
      <c r="C124" s="361"/>
      <c r="D124" s="362"/>
      <c r="E124" s="123"/>
      <c r="F124" s="123"/>
      <c r="G124" s="123"/>
    </row>
    <row r="125" spans="3:7" ht="16.5" hidden="1" customHeight="1" x14ac:dyDescent="0.25">
      <c r="C125" s="361"/>
      <c r="D125" s="362"/>
      <c r="E125" s="123"/>
      <c r="F125" s="123"/>
      <c r="G125" s="123"/>
    </row>
    <row r="126" spans="3:7" ht="16.5" hidden="1" customHeight="1" x14ac:dyDescent="0.25">
      <c r="C126" s="361"/>
      <c r="D126" s="362"/>
      <c r="E126" s="123"/>
      <c r="F126" s="123"/>
      <c r="G126" s="123"/>
    </row>
    <row r="127" spans="3:7" ht="16.5" hidden="1" customHeight="1" x14ac:dyDescent="0.25">
      <c r="C127" s="361"/>
      <c r="D127" s="362"/>
      <c r="E127" s="123"/>
      <c r="F127" s="123"/>
      <c r="G127" s="123"/>
    </row>
    <row r="128" spans="3:7" ht="16.5" hidden="1" customHeight="1" x14ac:dyDescent="0.25">
      <c r="C128" s="361"/>
      <c r="D128" s="362"/>
      <c r="E128" s="123"/>
      <c r="F128" s="123"/>
      <c r="G128" s="123"/>
    </row>
    <row r="129" spans="3:7" ht="16.5" hidden="1" customHeight="1" x14ac:dyDescent="0.25">
      <c r="C129" s="361"/>
      <c r="D129" s="362"/>
      <c r="E129" s="123"/>
      <c r="F129" s="123"/>
      <c r="G129" s="123"/>
    </row>
    <row r="130" spans="3:7" ht="16.5" hidden="1" customHeight="1" x14ac:dyDescent="0.25">
      <c r="C130" s="346"/>
      <c r="D130" s="123"/>
      <c r="E130" s="123"/>
      <c r="F130" s="123"/>
      <c r="G130" s="123"/>
    </row>
    <row r="131" spans="3:7" ht="16.5" hidden="1" customHeight="1" x14ac:dyDescent="0.25">
      <c r="C131" s="184"/>
      <c r="D131" s="123"/>
      <c r="E131" s="123"/>
      <c r="F131" s="123"/>
      <c r="G131" s="123"/>
    </row>
    <row r="132" spans="3:7" ht="16.5" hidden="1" customHeight="1" x14ac:dyDescent="0.25">
      <c r="C132" s="184"/>
      <c r="D132" s="123"/>
      <c r="E132" s="123"/>
      <c r="F132" s="123"/>
      <c r="G132" s="123"/>
    </row>
    <row r="133" spans="3:7" ht="16.5" hidden="1" customHeight="1" x14ac:dyDescent="0.25">
      <c r="C133" s="184"/>
      <c r="D133" s="123"/>
      <c r="E133" s="123"/>
      <c r="F133" s="123"/>
      <c r="G133" s="123"/>
    </row>
    <row r="134" spans="3:7" ht="16.5" hidden="1" customHeight="1" x14ac:dyDescent="0.25">
      <c r="C134" s="184"/>
      <c r="D134" s="123"/>
      <c r="E134" s="123"/>
      <c r="F134" s="123"/>
      <c r="G134" s="123"/>
    </row>
    <row r="135" spans="3:7" ht="16.5" hidden="1" customHeight="1" x14ac:dyDescent="0.25">
      <c r="C135" s="184"/>
      <c r="D135" s="123"/>
      <c r="E135" s="123"/>
      <c r="F135" s="123"/>
      <c r="G135" s="123"/>
    </row>
    <row r="136" spans="3:7" ht="16.5" hidden="1" customHeight="1" x14ac:dyDescent="0.25">
      <c r="C136" s="184"/>
      <c r="D136" s="249"/>
      <c r="E136" s="123"/>
      <c r="F136" s="123"/>
      <c r="G136" s="123"/>
    </row>
    <row r="137" spans="3:7" hidden="1" x14ac:dyDescent="0.25">
      <c r="C137" s="184"/>
      <c r="D137" s="249"/>
      <c r="E137" s="123"/>
      <c r="F137" s="123"/>
      <c r="G137" s="123"/>
    </row>
    <row r="138" spans="3:7" hidden="1" x14ac:dyDescent="0.25">
      <c r="C138" s="184"/>
      <c r="D138" s="249"/>
      <c r="E138" s="123"/>
      <c r="F138" s="123"/>
      <c r="G138" s="123"/>
    </row>
    <row r="139" spans="3:7" hidden="1" x14ac:dyDescent="0.25">
      <c r="C139" s="184"/>
      <c r="D139" s="249"/>
      <c r="E139" s="123"/>
      <c r="F139" s="123"/>
      <c r="G139" s="123"/>
    </row>
    <row r="140" spans="3:7" hidden="1" x14ac:dyDescent="0.25">
      <c r="C140" s="184"/>
      <c r="D140" s="249"/>
      <c r="E140" s="123"/>
      <c r="F140" s="123"/>
      <c r="G140" s="123"/>
    </row>
    <row r="141" spans="3:7" hidden="1" x14ac:dyDescent="0.25">
      <c r="C141" s="184"/>
      <c r="D141" s="249"/>
      <c r="E141" s="123"/>
      <c r="F141" s="123"/>
      <c r="G141" s="123"/>
    </row>
    <row r="142" spans="3:7" hidden="1" x14ac:dyDescent="0.25">
      <c r="C142" s="184"/>
      <c r="D142" s="249"/>
      <c r="E142" s="123"/>
      <c r="F142" s="123"/>
      <c r="G142" s="123"/>
    </row>
    <row r="143" spans="3:7" hidden="1" x14ac:dyDescent="0.25">
      <c r="C143" s="184"/>
      <c r="D143" s="249"/>
      <c r="E143" s="123"/>
      <c r="F143" s="123"/>
      <c r="G143" s="123"/>
    </row>
    <row r="144" spans="3:7" hidden="1" x14ac:dyDescent="0.25">
      <c r="C144" s="184"/>
      <c r="D144" s="249"/>
      <c r="E144" s="123"/>
      <c r="F144" s="123"/>
      <c r="G144" s="123"/>
    </row>
    <row r="145" spans="3:7" hidden="1" x14ac:dyDescent="0.25">
      <c r="C145" s="184"/>
      <c r="D145" s="249"/>
      <c r="E145" s="123"/>
      <c r="F145" s="123"/>
      <c r="G145" s="123"/>
    </row>
    <row r="146" spans="3:7" hidden="1" x14ac:dyDescent="0.25">
      <c r="C146" s="184"/>
      <c r="D146" s="249"/>
      <c r="E146" s="123"/>
      <c r="F146" s="123"/>
      <c r="G146" s="123"/>
    </row>
    <row r="147" spans="3:7" hidden="1" x14ac:dyDescent="0.25">
      <c r="C147" s="184"/>
      <c r="D147" s="249">
        <v>2000</v>
      </c>
      <c r="E147" s="123"/>
      <c r="F147" s="123"/>
      <c r="G147" s="123"/>
    </row>
    <row r="148" spans="3:7" ht="15.75" hidden="1" x14ac:dyDescent="0.25">
      <c r="C148" s="214"/>
      <c r="D148" s="249"/>
      <c r="E148" s="123"/>
      <c r="F148" s="123"/>
      <c r="G148" s="123"/>
    </row>
    <row r="149" spans="3:7" ht="15.75" hidden="1" x14ac:dyDescent="0.25">
      <c r="C149" s="360"/>
      <c r="D149" s="362">
        <v>34547.15</v>
      </c>
      <c r="E149" s="123"/>
      <c r="F149" s="123"/>
      <c r="G149" s="123"/>
    </row>
    <row r="150" spans="3:7" ht="15.75" hidden="1" x14ac:dyDescent="0.25">
      <c r="C150" s="360"/>
      <c r="D150" s="362"/>
      <c r="E150" s="123"/>
      <c r="F150" s="123"/>
      <c r="G150" s="123"/>
    </row>
    <row r="151" spans="3:7" ht="15.75" hidden="1" x14ac:dyDescent="0.25">
      <c r="C151" s="360"/>
      <c r="D151" s="362"/>
      <c r="E151" s="123"/>
      <c r="F151" s="123"/>
      <c r="G151" s="123"/>
    </row>
    <row r="152" spans="3:7" ht="15.75" hidden="1" x14ac:dyDescent="0.25">
      <c r="C152" s="360"/>
      <c r="D152" s="362"/>
      <c r="E152" s="123"/>
      <c r="F152" s="123"/>
      <c r="G152" s="123"/>
    </row>
    <row r="153" spans="3:7" ht="15.75" hidden="1" x14ac:dyDescent="0.25">
      <c r="C153" s="360"/>
      <c r="D153" s="123"/>
      <c r="E153" s="123"/>
      <c r="F153" s="123"/>
      <c r="G153" s="123"/>
    </row>
    <row r="154" spans="3:7" ht="15.75" x14ac:dyDescent="0.25">
      <c r="C154" s="360"/>
      <c r="D154" s="123"/>
      <c r="E154" s="123"/>
      <c r="F154" s="123"/>
      <c r="G154" s="123"/>
    </row>
    <row r="155" spans="3:7" ht="16.5" customHeight="1" x14ac:dyDescent="0.25">
      <c r="C155" s="360"/>
      <c r="D155" s="123"/>
      <c r="E155" s="123"/>
      <c r="F155" s="123"/>
      <c r="G155" s="123"/>
    </row>
    <row r="156" spans="3:7" ht="16.5" customHeight="1" x14ac:dyDescent="0.25">
      <c r="C156" s="360"/>
      <c r="D156" s="123"/>
      <c r="E156" s="123"/>
      <c r="F156" s="123"/>
      <c r="G156" s="123"/>
    </row>
    <row r="157" spans="3:7" ht="16.5" hidden="1" customHeight="1" x14ac:dyDescent="0.25">
      <c r="C157" s="360"/>
      <c r="D157" s="407">
        <f>SUM(D149:D156)</f>
        <v>34547.15</v>
      </c>
      <c r="E157" s="123"/>
      <c r="F157" s="123"/>
      <c r="G157" s="123"/>
    </row>
    <row r="230" spans="3:8" hidden="1" x14ac:dyDescent="0.25">
      <c r="D230" s="213">
        <v>41698</v>
      </c>
      <c r="E230" s="213">
        <v>41609</v>
      </c>
      <c r="F230" s="213">
        <v>41548</v>
      </c>
      <c r="G230" s="213">
        <v>41487</v>
      </c>
      <c r="H230" s="413">
        <v>41426</v>
      </c>
    </row>
    <row r="231" spans="3:8" hidden="1" x14ac:dyDescent="0.25">
      <c r="C231" s="33" t="s">
        <v>414</v>
      </c>
      <c r="D231" s="146">
        <f>D89</f>
        <v>66918.569999999992</v>
      </c>
      <c r="E231" s="146">
        <f>105452.64+311868.06-305987</f>
        <v>111333.70000000001</v>
      </c>
      <c r="F231" s="146">
        <v>85798.300000000017</v>
      </c>
      <c r="G231" s="123">
        <f>53253.08+18642.89</f>
        <v>71895.97</v>
      </c>
      <c r="H231" s="413">
        <v>126315</v>
      </c>
    </row>
    <row r="232" spans="3:8" hidden="1" x14ac:dyDescent="0.25">
      <c r="C232" s="33" t="s">
        <v>415</v>
      </c>
      <c r="D232" s="146">
        <f>E89</f>
        <v>75660.81</v>
      </c>
      <c r="E232" s="146">
        <f>74767.18-13600.56</f>
        <v>61166.619999999995</v>
      </c>
      <c r="F232" s="146">
        <v>86248.31</v>
      </c>
      <c r="G232" s="123">
        <v>43187.16</v>
      </c>
      <c r="H232" s="413">
        <v>60049</v>
      </c>
    </row>
    <row r="233" spans="3:8" hidden="1" x14ac:dyDescent="0.25">
      <c r="C233" s="33" t="s">
        <v>416</v>
      </c>
      <c r="D233" s="146">
        <f>F89</f>
        <v>67745.7</v>
      </c>
      <c r="E233" s="146">
        <f>66720.93-13675.33</f>
        <v>53045.599999999991</v>
      </c>
      <c r="F233" s="146">
        <v>32950.589999999997</v>
      </c>
      <c r="G233" s="123">
        <v>65970.55</v>
      </c>
      <c r="H233" s="413">
        <v>18719</v>
      </c>
    </row>
    <row r="234" spans="3:8" hidden="1" x14ac:dyDescent="0.25">
      <c r="C234" s="33" t="s">
        <v>417</v>
      </c>
      <c r="D234" s="146">
        <f>G89</f>
        <v>25429.16</v>
      </c>
      <c r="E234" s="146">
        <v>86322.43</v>
      </c>
      <c r="F234" s="146">
        <v>66109.450000000012</v>
      </c>
      <c r="G234" s="123">
        <v>56011.13</v>
      </c>
      <c r="H234" s="413">
        <v>1250</v>
      </c>
    </row>
    <row r="235" spans="3:8" hidden="1" x14ac:dyDescent="0.25">
      <c r="D235" s="146">
        <f>SUM(D231:D234)</f>
        <v>235754.24000000002</v>
      </c>
      <c r="E235" s="146">
        <f>SUM(E231:E234)</f>
        <v>311868.34999999998</v>
      </c>
      <c r="F235" s="146">
        <v>271106.65000000002</v>
      </c>
      <c r="G235" s="123">
        <f>SUM(G231:G234)</f>
        <v>237064.81</v>
      </c>
      <c r="H235" s="413">
        <f t="shared" ref="H235" si="5">SUM(H231:H234)</f>
        <v>206333</v>
      </c>
    </row>
  </sheetData>
  <sortState xmlns:xlrd2="http://schemas.microsoft.com/office/spreadsheetml/2017/richdata2" ref="B95:K96">
    <sortCondition ref="B95:B96"/>
  </sortState>
  <mergeCells count="3">
    <mergeCell ref="B30:C30"/>
    <mergeCell ref="B9:C9"/>
    <mergeCell ref="B80:C80"/>
  </mergeCells>
  <pageMargins left="0.45" right="0.25" top="0.25" bottom="0" header="0.3" footer="0.3"/>
  <pageSetup scale="52"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P166"/>
  <sheetViews>
    <sheetView topLeftCell="A24" zoomScale="70" zoomScaleNormal="70" workbookViewId="0">
      <selection activeCell="P62" sqref="P62"/>
    </sheetView>
  </sheetViews>
  <sheetFormatPr defaultRowHeight="18" x14ac:dyDescent="0.25"/>
  <cols>
    <col min="1" max="1" width="7" customWidth="1"/>
    <col min="2" max="2" width="2.875" style="33" customWidth="1"/>
    <col min="3" max="4" width="4.375" style="33" customWidth="1"/>
    <col min="5" max="5" width="11" style="33" customWidth="1"/>
    <col min="6" max="6" width="2.875" style="33" customWidth="1"/>
    <col min="7" max="7" width="34.625" style="33" customWidth="1"/>
    <col min="8" max="8" width="1.5" customWidth="1"/>
    <col min="9" max="9" width="23.875" customWidth="1"/>
    <col min="10" max="10" width="1.25" customWidth="1"/>
    <col min="11" max="11" width="25.25" customWidth="1"/>
    <col min="12" max="12" width="1.25" customWidth="1"/>
    <col min="13" max="13" width="24" hidden="1" customWidth="1"/>
    <col min="14" max="14" width="31.125" style="754" customWidth="1"/>
    <col min="15" max="15" width="17" style="753" customWidth="1"/>
    <col min="16" max="16" width="20.375" style="753" customWidth="1"/>
    <col min="17" max="17" width="22.875" style="753" customWidth="1"/>
    <col min="18" max="18" width="23.25" style="753" customWidth="1"/>
    <col min="19" max="19" width="16.75" style="753" customWidth="1"/>
    <col min="20" max="20" width="9" style="753"/>
    <col min="22" max="22" width="21.375" customWidth="1"/>
    <col min="256" max="256" width="2.875" customWidth="1"/>
    <col min="257" max="257" width="8.125" customWidth="1"/>
    <col min="258" max="258" width="8.75" customWidth="1"/>
    <col min="259" max="259" width="11" customWidth="1"/>
    <col min="260" max="260" width="2.875" customWidth="1"/>
    <col min="261" max="261" width="77.625" customWidth="1"/>
    <col min="262" max="262" width="20.875" customWidth="1"/>
    <col min="512" max="512" width="2.875" customWidth="1"/>
    <col min="513" max="513" width="8.125" customWidth="1"/>
    <col min="514" max="514" width="8.75" customWidth="1"/>
    <col min="515" max="515" width="11" customWidth="1"/>
    <col min="516" max="516" width="2.875" customWidth="1"/>
    <col min="517" max="517" width="77.625" customWidth="1"/>
    <col min="518" max="518" width="20.875" customWidth="1"/>
    <col min="768" max="768" width="2.875" customWidth="1"/>
    <col min="769" max="769" width="8.125" customWidth="1"/>
    <col min="770" max="770" width="8.75" customWidth="1"/>
    <col min="771" max="771" width="11" customWidth="1"/>
    <col min="772" max="772" width="2.875" customWidth="1"/>
    <col min="773" max="773" width="77.625" customWidth="1"/>
    <col min="774" max="774" width="20.875" customWidth="1"/>
    <col min="1024" max="1024" width="2.875" customWidth="1"/>
    <col min="1025" max="1025" width="8.125" customWidth="1"/>
    <col min="1026" max="1026" width="8.75" customWidth="1"/>
    <col min="1027" max="1027" width="11" customWidth="1"/>
    <col min="1028" max="1028" width="2.875" customWidth="1"/>
    <col min="1029" max="1029" width="77.625" customWidth="1"/>
    <col min="1030" max="1030" width="20.875" customWidth="1"/>
    <col min="1280" max="1280" width="2.875" customWidth="1"/>
    <col min="1281" max="1281" width="8.125" customWidth="1"/>
    <col min="1282" max="1282" width="8.75" customWidth="1"/>
    <col min="1283" max="1283" width="11" customWidth="1"/>
    <col min="1284" max="1284" width="2.875" customWidth="1"/>
    <col min="1285" max="1285" width="77.625" customWidth="1"/>
    <col min="1286" max="1286" width="20.875" customWidth="1"/>
    <col min="1536" max="1536" width="2.875" customWidth="1"/>
    <col min="1537" max="1537" width="8.125" customWidth="1"/>
    <col min="1538" max="1538" width="8.75" customWidth="1"/>
    <col min="1539" max="1539" width="11" customWidth="1"/>
    <col min="1540" max="1540" width="2.875" customWidth="1"/>
    <col min="1541" max="1541" width="77.625" customWidth="1"/>
    <col min="1542" max="1542" width="20.875" customWidth="1"/>
    <col min="1792" max="1792" width="2.875" customWidth="1"/>
    <col min="1793" max="1793" width="8.125" customWidth="1"/>
    <col min="1794" max="1794" width="8.75" customWidth="1"/>
    <col min="1795" max="1795" width="11" customWidth="1"/>
    <col min="1796" max="1796" width="2.875" customWidth="1"/>
    <col min="1797" max="1797" width="77.625" customWidth="1"/>
    <col min="1798" max="1798" width="20.875" customWidth="1"/>
    <col min="2048" max="2048" width="2.875" customWidth="1"/>
    <col min="2049" max="2049" width="8.125" customWidth="1"/>
    <col min="2050" max="2050" width="8.75" customWidth="1"/>
    <col min="2051" max="2051" width="11" customWidth="1"/>
    <col min="2052" max="2052" width="2.875" customWidth="1"/>
    <col min="2053" max="2053" width="77.625" customWidth="1"/>
    <col min="2054" max="2054" width="20.875" customWidth="1"/>
    <col min="2304" max="2304" width="2.875" customWidth="1"/>
    <col min="2305" max="2305" width="8.125" customWidth="1"/>
    <col min="2306" max="2306" width="8.75" customWidth="1"/>
    <col min="2307" max="2307" width="11" customWidth="1"/>
    <col min="2308" max="2308" width="2.875" customWidth="1"/>
    <col min="2309" max="2309" width="77.625" customWidth="1"/>
    <col min="2310" max="2310" width="20.875" customWidth="1"/>
    <col min="2560" max="2560" width="2.875" customWidth="1"/>
    <col min="2561" max="2561" width="8.125" customWidth="1"/>
    <col min="2562" max="2562" width="8.75" customWidth="1"/>
    <col min="2563" max="2563" width="11" customWidth="1"/>
    <col min="2564" max="2564" width="2.875" customWidth="1"/>
    <col min="2565" max="2565" width="77.625" customWidth="1"/>
    <col min="2566" max="2566" width="20.875" customWidth="1"/>
    <col min="2816" max="2816" width="2.875" customWidth="1"/>
    <col min="2817" max="2817" width="8.125" customWidth="1"/>
    <col min="2818" max="2818" width="8.75" customWidth="1"/>
    <col min="2819" max="2819" width="11" customWidth="1"/>
    <col min="2820" max="2820" width="2.875" customWidth="1"/>
    <col min="2821" max="2821" width="77.625" customWidth="1"/>
    <col min="2822" max="2822" width="20.875" customWidth="1"/>
    <col min="3072" max="3072" width="2.875" customWidth="1"/>
    <col min="3073" max="3073" width="8.125" customWidth="1"/>
    <col min="3074" max="3074" width="8.75" customWidth="1"/>
    <col min="3075" max="3075" width="11" customWidth="1"/>
    <col min="3076" max="3076" width="2.875" customWidth="1"/>
    <col min="3077" max="3077" width="77.625" customWidth="1"/>
    <col min="3078" max="3078" width="20.875" customWidth="1"/>
    <col min="3328" max="3328" width="2.875" customWidth="1"/>
    <col min="3329" max="3329" width="8.125" customWidth="1"/>
    <col min="3330" max="3330" width="8.75" customWidth="1"/>
    <col min="3331" max="3331" width="11" customWidth="1"/>
    <col min="3332" max="3332" width="2.875" customWidth="1"/>
    <col min="3333" max="3333" width="77.625" customWidth="1"/>
    <col min="3334" max="3334" width="20.875" customWidth="1"/>
    <col min="3584" max="3584" width="2.875" customWidth="1"/>
    <col min="3585" max="3585" width="8.125" customWidth="1"/>
    <col min="3586" max="3586" width="8.75" customWidth="1"/>
    <col min="3587" max="3587" width="11" customWidth="1"/>
    <col min="3588" max="3588" width="2.875" customWidth="1"/>
    <col min="3589" max="3589" width="77.625" customWidth="1"/>
    <col min="3590" max="3590" width="20.875" customWidth="1"/>
    <col min="3840" max="3840" width="2.875" customWidth="1"/>
    <col min="3841" max="3841" width="8.125" customWidth="1"/>
    <col min="3842" max="3842" width="8.75" customWidth="1"/>
    <col min="3843" max="3843" width="11" customWidth="1"/>
    <col min="3844" max="3844" width="2.875" customWidth="1"/>
    <col min="3845" max="3845" width="77.625" customWidth="1"/>
    <col min="3846" max="3846" width="20.875" customWidth="1"/>
    <col min="4096" max="4096" width="2.875" customWidth="1"/>
    <col min="4097" max="4097" width="8.125" customWidth="1"/>
    <col min="4098" max="4098" width="8.75" customWidth="1"/>
    <col min="4099" max="4099" width="11" customWidth="1"/>
    <col min="4100" max="4100" width="2.875" customWidth="1"/>
    <col min="4101" max="4101" width="77.625" customWidth="1"/>
    <col min="4102" max="4102" width="20.875" customWidth="1"/>
    <col min="4352" max="4352" width="2.875" customWidth="1"/>
    <col min="4353" max="4353" width="8.125" customWidth="1"/>
    <col min="4354" max="4354" width="8.75" customWidth="1"/>
    <col min="4355" max="4355" width="11" customWidth="1"/>
    <col min="4356" max="4356" width="2.875" customWidth="1"/>
    <col min="4357" max="4357" width="77.625" customWidth="1"/>
    <col min="4358" max="4358" width="20.875" customWidth="1"/>
    <col min="4608" max="4608" width="2.875" customWidth="1"/>
    <col min="4609" max="4609" width="8.125" customWidth="1"/>
    <col min="4610" max="4610" width="8.75" customWidth="1"/>
    <col min="4611" max="4611" width="11" customWidth="1"/>
    <col min="4612" max="4612" width="2.875" customWidth="1"/>
    <col min="4613" max="4613" width="77.625" customWidth="1"/>
    <col min="4614" max="4614" width="20.875" customWidth="1"/>
    <col min="4864" max="4864" width="2.875" customWidth="1"/>
    <col min="4865" max="4865" width="8.125" customWidth="1"/>
    <col min="4866" max="4866" width="8.75" customWidth="1"/>
    <col min="4867" max="4867" width="11" customWidth="1"/>
    <col min="4868" max="4868" width="2.875" customWidth="1"/>
    <col min="4869" max="4869" width="77.625" customWidth="1"/>
    <col min="4870" max="4870" width="20.875" customWidth="1"/>
    <col min="5120" max="5120" width="2.875" customWidth="1"/>
    <col min="5121" max="5121" width="8.125" customWidth="1"/>
    <col min="5122" max="5122" width="8.75" customWidth="1"/>
    <col min="5123" max="5123" width="11" customWidth="1"/>
    <col min="5124" max="5124" width="2.875" customWidth="1"/>
    <col min="5125" max="5125" width="77.625" customWidth="1"/>
    <col min="5126" max="5126" width="20.875" customWidth="1"/>
    <col min="5376" max="5376" width="2.875" customWidth="1"/>
    <col min="5377" max="5377" width="8.125" customWidth="1"/>
    <col min="5378" max="5378" width="8.75" customWidth="1"/>
    <col min="5379" max="5379" width="11" customWidth="1"/>
    <col min="5380" max="5380" width="2.875" customWidth="1"/>
    <col min="5381" max="5381" width="77.625" customWidth="1"/>
    <col min="5382" max="5382" width="20.875" customWidth="1"/>
    <col min="5632" max="5632" width="2.875" customWidth="1"/>
    <col min="5633" max="5633" width="8.125" customWidth="1"/>
    <col min="5634" max="5634" width="8.75" customWidth="1"/>
    <col min="5635" max="5635" width="11" customWidth="1"/>
    <col min="5636" max="5636" width="2.875" customWidth="1"/>
    <col min="5637" max="5637" width="77.625" customWidth="1"/>
    <col min="5638" max="5638" width="20.875" customWidth="1"/>
    <col min="5888" max="5888" width="2.875" customWidth="1"/>
    <col min="5889" max="5889" width="8.125" customWidth="1"/>
    <col min="5890" max="5890" width="8.75" customWidth="1"/>
    <col min="5891" max="5891" width="11" customWidth="1"/>
    <col min="5892" max="5892" width="2.875" customWidth="1"/>
    <col min="5893" max="5893" width="77.625" customWidth="1"/>
    <col min="5894" max="5894" width="20.875" customWidth="1"/>
    <col min="6144" max="6144" width="2.875" customWidth="1"/>
    <col min="6145" max="6145" width="8.125" customWidth="1"/>
    <col min="6146" max="6146" width="8.75" customWidth="1"/>
    <col min="6147" max="6147" width="11" customWidth="1"/>
    <col min="6148" max="6148" width="2.875" customWidth="1"/>
    <col min="6149" max="6149" width="77.625" customWidth="1"/>
    <col min="6150" max="6150" width="20.875" customWidth="1"/>
    <col min="6400" max="6400" width="2.875" customWidth="1"/>
    <col min="6401" max="6401" width="8.125" customWidth="1"/>
    <col min="6402" max="6402" width="8.75" customWidth="1"/>
    <col min="6403" max="6403" width="11" customWidth="1"/>
    <col min="6404" max="6404" width="2.875" customWidth="1"/>
    <col min="6405" max="6405" width="77.625" customWidth="1"/>
    <col min="6406" max="6406" width="20.875" customWidth="1"/>
    <col min="6656" max="6656" width="2.875" customWidth="1"/>
    <col min="6657" max="6657" width="8.125" customWidth="1"/>
    <col min="6658" max="6658" width="8.75" customWidth="1"/>
    <col min="6659" max="6659" width="11" customWidth="1"/>
    <col min="6660" max="6660" width="2.875" customWidth="1"/>
    <col min="6661" max="6661" width="77.625" customWidth="1"/>
    <col min="6662" max="6662" width="20.875" customWidth="1"/>
    <col min="6912" max="6912" width="2.875" customWidth="1"/>
    <col min="6913" max="6913" width="8.125" customWidth="1"/>
    <col min="6914" max="6914" width="8.75" customWidth="1"/>
    <col min="6915" max="6915" width="11" customWidth="1"/>
    <col min="6916" max="6916" width="2.875" customWidth="1"/>
    <col min="6917" max="6917" width="77.625" customWidth="1"/>
    <col min="6918" max="6918" width="20.875" customWidth="1"/>
    <col min="7168" max="7168" width="2.875" customWidth="1"/>
    <col min="7169" max="7169" width="8.125" customWidth="1"/>
    <col min="7170" max="7170" width="8.75" customWidth="1"/>
    <col min="7171" max="7171" width="11" customWidth="1"/>
    <col min="7172" max="7172" width="2.875" customWidth="1"/>
    <col min="7173" max="7173" width="77.625" customWidth="1"/>
    <col min="7174" max="7174" width="20.875" customWidth="1"/>
    <col min="7424" max="7424" width="2.875" customWidth="1"/>
    <col min="7425" max="7425" width="8.125" customWidth="1"/>
    <col min="7426" max="7426" width="8.75" customWidth="1"/>
    <col min="7427" max="7427" width="11" customWidth="1"/>
    <col min="7428" max="7428" width="2.875" customWidth="1"/>
    <col min="7429" max="7429" width="77.625" customWidth="1"/>
    <col min="7430" max="7430" width="20.875" customWidth="1"/>
    <col min="7680" max="7680" width="2.875" customWidth="1"/>
    <col min="7681" max="7681" width="8.125" customWidth="1"/>
    <col min="7682" max="7682" width="8.75" customWidth="1"/>
    <col min="7683" max="7683" width="11" customWidth="1"/>
    <col min="7684" max="7684" width="2.875" customWidth="1"/>
    <col min="7685" max="7685" width="77.625" customWidth="1"/>
    <col min="7686" max="7686" width="20.875" customWidth="1"/>
    <col min="7936" max="7936" width="2.875" customWidth="1"/>
    <col min="7937" max="7937" width="8.125" customWidth="1"/>
    <col min="7938" max="7938" width="8.75" customWidth="1"/>
    <col min="7939" max="7939" width="11" customWidth="1"/>
    <col min="7940" max="7940" width="2.875" customWidth="1"/>
    <col min="7941" max="7941" width="77.625" customWidth="1"/>
    <col min="7942" max="7942" width="20.875" customWidth="1"/>
    <col min="8192" max="8192" width="2.875" customWidth="1"/>
    <col min="8193" max="8193" width="8.125" customWidth="1"/>
    <col min="8194" max="8194" width="8.75" customWidth="1"/>
    <col min="8195" max="8195" width="11" customWidth="1"/>
    <col min="8196" max="8196" width="2.875" customWidth="1"/>
    <col min="8197" max="8197" width="77.625" customWidth="1"/>
    <col min="8198" max="8198" width="20.875" customWidth="1"/>
    <col min="8448" max="8448" width="2.875" customWidth="1"/>
    <col min="8449" max="8449" width="8.125" customWidth="1"/>
    <col min="8450" max="8450" width="8.75" customWidth="1"/>
    <col min="8451" max="8451" width="11" customWidth="1"/>
    <col min="8452" max="8452" width="2.875" customWidth="1"/>
    <col min="8453" max="8453" width="77.625" customWidth="1"/>
    <col min="8454" max="8454" width="20.875" customWidth="1"/>
    <col min="8704" max="8704" width="2.875" customWidth="1"/>
    <col min="8705" max="8705" width="8.125" customWidth="1"/>
    <col min="8706" max="8706" width="8.75" customWidth="1"/>
    <col min="8707" max="8707" width="11" customWidth="1"/>
    <col min="8708" max="8708" width="2.875" customWidth="1"/>
    <col min="8709" max="8709" width="77.625" customWidth="1"/>
    <col min="8710" max="8710" width="20.875" customWidth="1"/>
    <col min="8960" max="8960" width="2.875" customWidth="1"/>
    <col min="8961" max="8961" width="8.125" customWidth="1"/>
    <col min="8962" max="8962" width="8.75" customWidth="1"/>
    <col min="8963" max="8963" width="11" customWidth="1"/>
    <col min="8964" max="8964" width="2.875" customWidth="1"/>
    <col min="8965" max="8965" width="77.625" customWidth="1"/>
    <col min="8966" max="8966" width="20.875" customWidth="1"/>
    <col min="9216" max="9216" width="2.875" customWidth="1"/>
    <col min="9217" max="9217" width="8.125" customWidth="1"/>
    <col min="9218" max="9218" width="8.75" customWidth="1"/>
    <col min="9219" max="9219" width="11" customWidth="1"/>
    <col min="9220" max="9220" width="2.875" customWidth="1"/>
    <col min="9221" max="9221" width="77.625" customWidth="1"/>
    <col min="9222" max="9222" width="20.875" customWidth="1"/>
    <col min="9472" max="9472" width="2.875" customWidth="1"/>
    <col min="9473" max="9473" width="8.125" customWidth="1"/>
    <col min="9474" max="9474" width="8.75" customWidth="1"/>
    <col min="9475" max="9475" width="11" customWidth="1"/>
    <col min="9476" max="9476" width="2.875" customWidth="1"/>
    <col min="9477" max="9477" width="77.625" customWidth="1"/>
    <col min="9478" max="9478" width="20.875" customWidth="1"/>
    <col min="9728" max="9728" width="2.875" customWidth="1"/>
    <col min="9729" max="9729" width="8.125" customWidth="1"/>
    <col min="9730" max="9730" width="8.75" customWidth="1"/>
    <col min="9731" max="9731" width="11" customWidth="1"/>
    <col min="9732" max="9732" width="2.875" customWidth="1"/>
    <col min="9733" max="9733" width="77.625" customWidth="1"/>
    <col min="9734" max="9734" width="20.875" customWidth="1"/>
    <col min="9984" max="9984" width="2.875" customWidth="1"/>
    <col min="9985" max="9985" width="8.125" customWidth="1"/>
    <col min="9986" max="9986" width="8.75" customWidth="1"/>
    <col min="9987" max="9987" width="11" customWidth="1"/>
    <col min="9988" max="9988" width="2.875" customWidth="1"/>
    <col min="9989" max="9989" width="77.625" customWidth="1"/>
    <col min="9990" max="9990" width="20.875" customWidth="1"/>
    <col min="10240" max="10240" width="2.875" customWidth="1"/>
    <col min="10241" max="10241" width="8.125" customWidth="1"/>
    <col min="10242" max="10242" width="8.75" customWidth="1"/>
    <col min="10243" max="10243" width="11" customWidth="1"/>
    <col min="10244" max="10244" width="2.875" customWidth="1"/>
    <col min="10245" max="10245" width="77.625" customWidth="1"/>
    <col min="10246" max="10246" width="20.875" customWidth="1"/>
    <col min="10496" max="10496" width="2.875" customWidth="1"/>
    <col min="10497" max="10497" width="8.125" customWidth="1"/>
    <col min="10498" max="10498" width="8.75" customWidth="1"/>
    <col min="10499" max="10499" width="11" customWidth="1"/>
    <col min="10500" max="10500" width="2.875" customWidth="1"/>
    <col min="10501" max="10501" width="77.625" customWidth="1"/>
    <col min="10502" max="10502" width="20.875" customWidth="1"/>
    <col min="10752" max="10752" width="2.875" customWidth="1"/>
    <col min="10753" max="10753" width="8.125" customWidth="1"/>
    <col min="10754" max="10754" width="8.75" customWidth="1"/>
    <col min="10755" max="10755" width="11" customWidth="1"/>
    <col min="10756" max="10756" width="2.875" customWidth="1"/>
    <col min="10757" max="10757" width="77.625" customWidth="1"/>
    <col min="10758" max="10758" width="20.875" customWidth="1"/>
    <col min="11008" max="11008" width="2.875" customWidth="1"/>
    <col min="11009" max="11009" width="8.125" customWidth="1"/>
    <col min="11010" max="11010" width="8.75" customWidth="1"/>
    <col min="11011" max="11011" width="11" customWidth="1"/>
    <col min="11012" max="11012" width="2.875" customWidth="1"/>
    <col min="11013" max="11013" width="77.625" customWidth="1"/>
    <col min="11014" max="11014" width="20.875" customWidth="1"/>
    <col min="11264" max="11264" width="2.875" customWidth="1"/>
    <col min="11265" max="11265" width="8.125" customWidth="1"/>
    <col min="11266" max="11266" width="8.75" customWidth="1"/>
    <col min="11267" max="11267" width="11" customWidth="1"/>
    <col min="11268" max="11268" width="2.875" customWidth="1"/>
    <col min="11269" max="11269" width="77.625" customWidth="1"/>
    <col min="11270" max="11270" width="20.875" customWidth="1"/>
    <col min="11520" max="11520" width="2.875" customWidth="1"/>
    <col min="11521" max="11521" width="8.125" customWidth="1"/>
    <col min="11522" max="11522" width="8.75" customWidth="1"/>
    <col min="11523" max="11523" width="11" customWidth="1"/>
    <col min="11524" max="11524" width="2.875" customWidth="1"/>
    <col min="11525" max="11525" width="77.625" customWidth="1"/>
    <col min="11526" max="11526" width="20.875" customWidth="1"/>
    <col min="11776" max="11776" width="2.875" customWidth="1"/>
    <col min="11777" max="11777" width="8.125" customWidth="1"/>
    <col min="11778" max="11778" width="8.75" customWidth="1"/>
    <col min="11779" max="11779" width="11" customWidth="1"/>
    <col min="11780" max="11780" width="2.875" customWidth="1"/>
    <col min="11781" max="11781" width="77.625" customWidth="1"/>
    <col min="11782" max="11782" width="20.875" customWidth="1"/>
    <col min="12032" max="12032" width="2.875" customWidth="1"/>
    <col min="12033" max="12033" width="8.125" customWidth="1"/>
    <col min="12034" max="12034" width="8.75" customWidth="1"/>
    <col min="12035" max="12035" width="11" customWidth="1"/>
    <col min="12036" max="12036" width="2.875" customWidth="1"/>
    <col min="12037" max="12037" width="77.625" customWidth="1"/>
    <col min="12038" max="12038" width="20.875" customWidth="1"/>
    <col min="12288" max="12288" width="2.875" customWidth="1"/>
    <col min="12289" max="12289" width="8.125" customWidth="1"/>
    <col min="12290" max="12290" width="8.75" customWidth="1"/>
    <col min="12291" max="12291" width="11" customWidth="1"/>
    <col min="12292" max="12292" width="2.875" customWidth="1"/>
    <col min="12293" max="12293" width="77.625" customWidth="1"/>
    <col min="12294" max="12294" width="20.875" customWidth="1"/>
    <col min="12544" max="12544" width="2.875" customWidth="1"/>
    <col min="12545" max="12545" width="8.125" customWidth="1"/>
    <col min="12546" max="12546" width="8.75" customWidth="1"/>
    <col min="12547" max="12547" width="11" customWidth="1"/>
    <col min="12548" max="12548" width="2.875" customWidth="1"/>
    <col min="12549" max="12549" width="77.625" customWidth="1"/>
    <col min="12550" max="12550" width="20.875" customWidth="1"/>
    <col min="12800" max="12800" width="2.875" customWidth="1"/>
    <col min="12801" max="12801" width="8.125" customWidth="1"/>
    <col min="12802" max="12802" width="8.75" customWidth="1"/>
    <col min="12803" max="12803" width="11" customWidth="1"/>
    <col min="12804" max="12804" width="2.875" customWidth="1"/>
    <col min="12805" max="12805" width="77.625" customWidth="1"/>
    <col min="12806" max="12806" width="20.875" customWidth="1"/>
    <col min="13056" max="13056" width="2.875" customWidth="1"/>
    <col min="13057" max="13057" width="8.125" customWidth="1"/>
    <col min="13058" max="13058" width="8.75" customWidth="1"/>
    <col min="13059" max="13059" width="11" customWidth="1"/>
    <col min="13060" max="13060" width="2.875" customWidth="1"/>
    <col min="13061" max="13061" width="77.625" customWidth="1"/>
    <col min="13062" max="13062" width="20.875" customWidth="1"/>
    <col min="13312" max="13312" width="2.875" customWidth="1"/>
    <col min="13313" max="13313" width="8.125" customWidth="1"/>
    <col min="13314" max="13314" width="8.75" customWidth="1"/>
    <col min="13315" max="13315" width="11" customWidth="1"/>
    <col min="13316" max="13316" width="2.875" customWidth="1"/>
    <col min="13317" max="13317" width="77.625" customWidth="1"/>
    <col min="13318" max="13318" width="20.875" customWidth="1"/>
    <col min="13568" max="13568" width="2.875" customWidth="1"/>
    <col min="13569" max="13569" width="8.125" customWidth="1"/>
    <col min="13570" max="13570" width="8.75" customWidth="1"/>
    <col min="13571" max="13571" width="11" customWidth="1"/>
    <col min="13572" max="13572" width="2.875" customWidth="1"/>
    <col min="13573" max="13573" width="77.625" customWidth="1"/>
    <col min="13574" max="13574" width="20.875" customWidth="1"/>
    <col min="13824" max="13824" width="2.875" customWidth="1"/>
    <col min="13825" max="13825" width="8.125" customWidth="1"/>
    <col min="13826" max="13826" width="8.75" customWidth="1"/>
    <col min="13827" max="13827" width="11" customWidth="1"/>
    <col min="13828" max="13828" width="2.875" customWidth="1"/>
    <col min="13829" max="13829" width="77.625" customWidth="1"/>
    <col min="13830" max="13830" width="20.875" customWidth="1"/>
    <col min="14080" max="14080" width="2.875" customWidth="1"/>
    <col min="14081" max="14081" width="8.125" customWidth="1"/>
    <col min="14082" max="14082" width="8.75" customWidth="1"/>
    <col min="14083" max="14083" width="11" customWidth="1"/>
    <col min="14084" max="14084" width="2.875" customWidth="1"/>
    <col min="14085" max="14085" width="77.625" customWidth="1"/>
    <col min="14086" max="14086" width="20.875" customWidth="1"/>
    <col min="14336" max="14336" width="2.875" customWidth="1"/>
    <col min="14337" max="14337" width="8.125" customWidth="1"/>
    <col min="14338" max="14338" width="8.75" customWidth="1"/>
    <col min="14339" max="14339" width="11" customWidth="1"/>
    <col min="14340" max="14340" width="2.875" customWidth="1"/>
    <col min="14341" max="14341" width="77.625" customWidth="1"/>
    <col min="14342" max="14342" width="20.875" customWidth="1"/>
    <col min="14592" max="14592" width="2.875" customWidth="1"/>
    <col min="14593" max="14593" width="8.125" customWidth="1"/>
    <col min="14594" max="14594" width="8.75" customWidth="1"/>
    <col min="14595" max="14595" width="11" customWidth="1"/>
    <col min="14596" max="14596" width="2.875" customWidth="1"/>
    <col min="14597" max="14597" width="77.625" customWidth="1"/>
    <col min="14598" max="14598" width="20.875" customWidth="1"/>
    <col min="14848" max="14848" width="2.875" customWidth="1"/>
    <col min="14849" max="14849" width="8.125" customWidth="1"/>
    <col min="14850" max="14850" width="8.75" customWidth="1"/>
    <col min="14851" max="14851" width="11" customWidth="1"/>
    <col min="14852" max="14852" width="2.875" customWidth="1"/>
    <col min="14853" max="14853" width="77.625" customWidth="1"/>
    <col min="14854" max="14854" width="20.875" customWidth="1"/>
    <col min="15104" max="15104" width="2.875" customWidth="1"/>
    <col min="15105" max="15105" width="8.125" customWidth="1"/>
    <col min="15106" max="15106" width="8.75" customWidth="1"/>
    <col min="15107" max="15107" width="11" customWidth="1"/>
    <col min="15108" max="15108" width="2.875" customWidth="1"/>
    <col min="15109" max="15109" width="77.625" customWidth="1"/>
    <col min="15110" max="15110" width="20.875" customWidth="1"/>
    <col min="15360" max="15360" width="2.875" customWidth="1"/>
    <col min="15361" max="15361" width="8.125" customWidth="1"/>
    <col min="15362" max="15362" width="8.75" customWidth="1"/>
    <col min="15363" max="15363" width="11" customWidth="1"/>
    <col min="15364" max="15364" width="2.875" customWidth="1"/>
    <col min="15365" max="15365" width="77.625" customWidth="1"/>
    <col min="15366" max="15366" width="20.875" customWidth="1"/>
    <col min="15616" max="15616" width="2.875" customWidth="1"/>
    <col min="15617" max="15617" width="8.125" customWidth="1"/>
    <col min="15618" max="15618" width="8.75" customWidth="1"/>
    <col min="15619" max="15619" width="11" customWidth="1"/>
    <col min="15620" max="15620" width="2.875" customWidth="1"/>
    <col min="15621" max="15621" width="77.625" customWidth="1"/>
    <col min="15622" max="15622" width="20.875" customWidth="1"/>
    <col min="15872" max="15872" width="2.875" customWidth="1"/>
    <col min="15873" max="15873" width="8.125" customWidth="1"/>
    <col min="15874" max="15874" width="8.75" customWidth="1"/>
    <col min="15875" max="15875" width="11" customWidth="1"/>
    <col min="15876" max="15876" width="2.875" customWidth="1"/>
    <col min="15877" max="15877" width="77.625" customWidth="1"/>
    <col min="15878" max="15878" width="20.875" customWidth="1"/>
    <col min="16128" max="16128" width="2.875" customWidth="1"/>
    <col min="16129" max="16129" width="8.125" customWidth="1"/>
    <col min="16130" max="16130" width="8.75" customWidth="1"/>
    <col min="16131" max="16131" width="11" customWidth="1"/>
    <col min="16132" max="16132" width="2.875" customWidth="1"/>
    <col min="16133" max="16133" width="77.625" customWidth="1"/>
    <col min="16134" max="16134" width="20.875" customWidth="1"/>
  </cols>
  <sheetData>
    <row r="1" spans="1:120" ht="22.5" customHeight="1" x14ac:dyDescent="0.4">
      <c r="B1" s="34" t="s">
        <v>0</v>
      </c>
      <c r="C1" s="35"/>
      <c r="D1" s="36"/>
      <c r="E1" s="36"/>
      <c r="F1" s="36"/>
      <c r="G1" s="35"/>
      <c r="H1" s="35"/>
      <c r="I1" s="35"/>
      <c r="J1" s="35"/>
      <c r="K1" s="35"/>
      <c r="L1" s="35"/>
      <c r="M1" s="35"/>
    </row>
    <row r="2" spans="1:120" ht="22.5" customHeight="1" x14ac:dyDescent="0.4">
      <c r="B2" s="34" t="s">
        <v>580</v>
      </c>
      <c r="C2" s="35"/>
      <c r="D2" s="36"/>
      <c r="E2" s="36"/>
      <c r="F2" s="36"/>
      <c r="G2" s="35"/>
      <c r="H2" s="35"/>
      <c r="I2" s="35"/>
      <c r="J2" s="35"/>
      <c r="K2" s="35"/>
      <c r="L2" s="35"/>
      <c r="M2" s="35"/>
      <c r="N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c r="BD2" s="753"/>
      <c r="BE2" s="753"/>
      <c r="BF2" s="753"/>
      <c r="BG2" s="753"/>
      <c r="BH2" s="753"/>
      <c r="BI2" s="753"/>
      <c r="BJ2" s="753"/>
      <c r="BK2" s="753"/>
      <c r="BL2" s="753"/>
      <c r="BM2" s="753"/>
      <c r="BN2" s="753"/>
      <c r="BO2" s="753"/>
      <c r="BP2" s="753"/>
      <c r="BQ2" s="753"/>
      <c r="BR2" s="753"/>
      <c r="BS2" s="753"/>
      <c r="BT2" s="753"/>
      <c r="BU2" s="753"/>
      <c r="BV2" s="753"/>
      <c r="BW2" s="753"/>
      <c r="BX2" s="753"/>
      <c r="BY2" s="753"/>
      <c r="BZ2" s="753"/>
      <c r="CA2" s="753"/>
      <c r="CB2" s="753"/>
      <c r="CC2" s="753"/>
      <c r="CD2" s="753"/>
      <c r="CE2" s="753"/>
      <c r="CF2" s="753"/>
      <c r="CG2" s="753"/>
      <c r="CH2" s="753"/>
      <c r="CI2" s="753"/>
      <c r="CJ2" s="753"/>
      <c r="CK2" s="753"/>
      <c r="CL2" s="753"/>
      <c r="CM2" s="753"/>
      <c r="CN2" s="753"/>
      <c r="CO2" s="753"/>
      <c r="CP2" s="753"/>
      <c r="CQ2" s="753"/>
      <c r="CR2" s="753"/>
      <c r="CS2" s="753"/>
      <c r="CT2" s="753"/>
      <c r="CU2" s="753"/>
      <c r="CV2" s="753"/>
      <c r="CW2" s="753"/>
      <c r="CX2" s="753"/>
      <c r="CY2" s="753"/>
      <c r="CZ2" s="753"/>
      <c r="DA2" s="753"/>
      <c r="DB2" s="753"/>
      <c r="DC2" s="753"/>
      <c r="DD2" s="753"/>
      <c r="DE2" s="753"/>
      <c r="DF2" s="753"/>
      <c r="DG2" s="753"/>
      <c r="DH2" s="753"/>
      <c r="DI2" s="753"/>
      <c r="DJ2" s="753"/>
      <c r="DK2" s="753"/>
      <c r="DL2" s="753"/>
      <c r="DM2" s="753"/>
      <c r="DN2" s="753"/>
      <c r="DO2" s="753"/>
      <c r="DP2" s="753"/>
    </row>
    <row r="3" spans="1:120" ht="27" customHeight="1" x14ac:dyDescent="0.4">
      <c r="B3" s="34" t="s">
        <v>633</v>
      </c>
      <c r="C3" s="35"/>
      <c r="D3" s="36"/>
      <c r="E3" s="36"/>
      <c r="F3" s="36"/>
      <c r="G3" s="35"/>
      <c r="H3" s="35"/>
      <c r="I3" s="35"/>
      <c r="J3" s="35"/>
      <c r="K3" s="35"/>
      <c r="L3" s="35"/>
      <c r="M3" s="35"/>
      <c r="N3" s="753"/>
      <c r="U3" s="753"/>
      <c r="V3" s="753"/>
      <c r="W3" s="753"/>
      <c r="X3" s="753"/>
      <c r="Y3" s="753"/>
      <c r="Z3" s="753"/>
      <c r="AA3" s="753"/>
      <c r="AB3" s="753"/>
      <c r="AC3" s="753"/>
      <c r="AD3" s="753"/>
      <c r="AE3" s="753"/>
      <c r="AF3" s="753"/>
      <c r="AG3" s="753"/>
      <c r="AH3" s="753"/>
      <c r="AI3" s="753"/>
      <c r="AJ3" s="753"/>
      <c r="AK3" s="753"/>
      <c r="AL3" s="753"/>
      <c r="AM3" s="753"/>
      <c r="AN3" s="753"/>
      <c r="AO3" s="753"/>
      <c r="AP3" s="753"/>
      <c r="AQ3" s="753"/>
      <c r="AR3" s="753"/>
      <c r="AS3" s="753"/>
      <c r="AT3" s="753"/>
      <c r="AU3" s="753"/>
      <c r="AV3" s="753"/>
      <c r="AW3" s="753"/>
      <c r="AX3" s="753"/>
      <c r="AY3" s="753"/>
      <c r="AZ3" s="753"/>
      <c r="BA3" s="753"/>
      <c r="BB3" s="753"/>
      <c r="BC3" s="753"/>
      <c r="BD3" s="753"/>
      <c r="BE3" s="753"/>
      <c r="BF3" s="753"/>
      <c r="BG3" s="753"/>
      <c r="BH3" s="753"/>
      <c r="BI3" s="753"/>
      <c r="BJ3" s="753"/>
      <c r="BK3" s="753"/>
      <c r="BL3" s="753"/>
      <c r="BM3" s="753"/>
      <c r="BN3" s="753"/>
      <c r="BO3" s="753"/>
      <c r="BP3" s="753"/>
      <c r="BQ3" s="753"/>
      <c r="BR3" s="753"/>
      <c r="BS3" s="753"/>
      <c r="BT3" s="753"/>
      <c r="BU3" s="753"/>
      <c r="BV3" s="753"/>
      <c r="BW3" s="753"/>
      <c r="BX3" s="753"/>
      <c r="BY3" s="753"/>
      <c r="BZ3" s="753"/>
      <c r="CA3" s="753"/>
      <c r="CB3" s="753"/>
      <c r="CC3" s="753"/>
      <c r="CD3" s="753"/>
      <c r="CE3" s="753"/>
      <c r="CF3" s="753"/>
      <c r="CG3" s="753"/>
      <c r="CH3" s="753"/>
      <c r="CI3" s="753"/>
      <c r="CJ3" s="753"/>
      <c r="CK3" s="753"/>
      <c r="CL3" s="753"/>
      <c r="CM3" s="753"/>
      <c r="CN3" s="753"/>
      <c r="CO3" s="753"/>
      <c r="CP3" s="753"/>
      <c r="CQ3" s="753"/>
      <c r="CR3" s="753"/>
      <c r="CS3" s="753"/>
      <c r="CT3" s="753"/>
      <c r="CU3" s="753"/>
      <c r="CV3" s="753"/>
      <c r="CW3" s="753"/>
      <c r="CX3" s="753"/>
      <c r="CY3" s="753"/>
      <c r="CZ3" s="753"/>
      <c r="DA3" s="753"/>
      <c r="DB3" s="753"/>
      <c r="DC3" s="753"/>
      <c r="DD3" s="753"/>
      <c r="DE3" s="753"/>
      <c r="DF3" s="753"/>
      <c r="DG3" s="753"/>
      <c r="DH3" s="753"/>
      <c r="DI3" s="753"/>
      <c r="DJ3" s="753"/>
      <c r="DK3" s="753"/>
      <c r="DL3" s="753"/>
      <c r="DM3" s="753"/>
      <c r="DN3" s="753"/>
      <c r="DO3" s="753"/>
      <c r="DP3" s="753"/>
    </row>
    <row r="4" spans="1:120" s="38" customFormat="1" ht="30.75" customHeight="1" thickBot="1" x14ac:dyDescent="0.3">
      <c r="A4"/>
      <c r="B4" s="37"/>
      <c r="C4" s="37"/>
      <c r="D4" s="37"/>
      <c r="E4" s="37"/>
      <c r="F4" s="37"/>
      <c r="G4" s="37"/>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53"/>
      <c r="BO4" s="753"/>
      <c r="BP4" s="753"/>
      <c r="BQ4" s="753"/>
      <c r="BR4" s="753"/>
      <c r="BS4" s="753"/>
      <c r="BT4" s="753"/>
      <c r="BU4" s="753"/>
      <c r="BV4" s="753"/>
      <c r="BW4" s="753"/>
      <c r="BX4" s="753"/>
      <c r="BY4" s="753"/>
      <c r="BZ4" s="753"/>
      <c r="CA4" s="753"/>
      <c r="CB4" s="753"/>
      <c r="CC4" s="753"/>
      <c r="CD4" s="753"/>
      <c r="CE4" s="753"/>
      <c r="CF4" s="753"/>
      <c r="CG4" s="753"/>
      <c r="CH4" s="753"/>
      <c r="CI4" s="753"/>
      <c r="CJ4" s="753"/>
      <c r="CK4" s="753"/>
      <c r="CL4" s="753"/>
      <c r="CM4" s="753"/>
      <c r="CN4" s="753"/>
      <c r="CO4" s="753"/>
      <c r="CP4" s="753"/>
      <c r="CQ4" s="753"/>
      <c r="CR4" s="753"/>
      <c r="CS4" s="753"/>
      <c r="CT4" s="753"/>
      <c r="CU4" s="753"/>
      <c r="CV4" s="753"/>
      <c r="CW4" s="753"/>
      <c r="CX4" s="753"/>
      <c r="CY4" s="753"/>
      <c r="CZ4" s="753"/>
      <c r="DA4" s="753"/>
      <c r="DB4" s="753"/>
      <c r="DC4" s="753"/>
      <c r="DD4" s="753"/>
      <c r="DE4" s="753"/>
      <c r="DF4" s="753"/>
      <c r="DG4" s="753"/>
      <c r="DH4" s="753"/>
      <c r="DI4" s="753"/>
      <c r="DJ4" s="753"/>
      <c r="DK4" s="753"/>
      <c r="DL4" s="753"/>
      <c r="DM4" s="753"/>
      <c r="DN4" s="753"/>
      <c r="DO4" s="753"/>
      <c r="DP4" s="753"/>
    </row>
    <row r="5" spans="1:120" s="41" customFormat="1" ht="27.75" thickTop="1" thickBot="1" x14ac:dyDescent="0.3">
      <c r="A5"/>
      <c r="B5" s="39" t="s">
        <v>581</v>
      </c>
      <c r="C5" s="39"/>
      <c r="D5" s="39"/>
      <c r="E5" s="39"/>
      <c r="F5" s="39"/>
      <c r="G5" s="39"/>
      <c r="H5" s="156"/>
      <c r="I5" s="812" t="s">
        <v>4</v>
      </c>
      <c r="J5" s="812"/>
      <c r="K5" s="812"/>
      <c r="L5" s="156"/>
      <c r="M5" s="156"/>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753"/>
      <c r="AQ5" s="753"/>
      <c r="AR5" s="753"/>
      <c r="AS5" s="753"/>
      <c r="AT5" s="753"/>
      <c r="AU5" s="753"/>
      <c r="AV5" s="753"/>
      <c r="AW5" s="753"/>
      <c r="AX5" s="753"/>
      <c r="AY5" s="753"/>
      <c r="AZ5" s="753"/>
      <c r="BA5" s="753"/>
      <c r="BB5" s="753"/>
      <c r="BC5" s="753"/>
      <c r="BD5" s="753"/>
      <c r="BE5" s="753"/>
      <c r="BF5" s="753"/>
      <c r="BG5" s="753"/>
      <c r="BH5" s="753"/>
      <c r="BI5" s="753"/>
      <c r="BJ5" s="753"/>
      <c r="BK5" s="753"/>
      <c r="BL5" s="753"/>
      <c r="BM5" s="753"/>
      <c r="BN5" s="753"/>
      <c r="BO5" s="753"/>
      <c r="BP5" s="753"/>
      <c r="BQ5" s="753"/>
      <c r="BR5" s="753"/>
      <c r="BS5" s="753"/>
      <c r="BT5" s="753"/>
      <c r="BU5" s="753"/>
      <c r="BV5" s="753"/>
      <c r="BW5" s="753"/>
      <c r="BX5" s="753"/>
      <c r="BY5" s="753"/>
      <c r="BZ5" s="753"/>
      <c r="CA5" s="753"/>
      <c r="CB5" s="753"/>
      <c r="CC5" s="753"/>
      <c r="CD5" s="753"/>
      <c r="CE5" s="753"/>
      <c r="CF5" s="753"/>
      <c r="CG5" s="753"/>
      <c r="CH5" s="753"/>
      <c r="CI5" s="753"/>
      <c r="CJ5" s="753"/>
      <c r="CK5" s="753"/>
      <c r="CL5" s="753"/>
      <c r="CM5" s="753"/>
      <c r="CN5" s="753"/>
      <c r="CO5" s="753"/>
      <c r="CP5" s="753"/>
      <c r="CQ5" s="753"/>
      <c r="CR5" s="753"/>
      <c r="CS5" s="753"/>
      <c r="CT5" s="753"/>
      <c r="CU5" s="753"/>
      <c r="CV5" s="753"/>
      <c r="CW5" s="753"/>
      <c r="CX5" s="753"/>
      <c r="CY5" s="753"/>
      <c r="CZ5" s="753"/>
      <c r="DA5" s="753"/>
      <c r="DB5" s="753"/>
      <c r="DC5" s="753"/>
      <c r="DD5" s="753"/>
      <c r="DE5" s="753"/>
      <c r="DF5" s="753"/>
      <c r="DG5" s="753"/>
      <c r="DH5" s="753"/>
      <c r="DI5" s="753"/>
      <c r="DJ5" s="753"/>
      <c r="DK5" s="753"/>
      <c r="DL5" s="753"/>
      <c r="DM5" s="753"/>
      <c r="DN5" s="753"/>
      <c r="DO5" s="753"/>
      <c r="DP5" s="753"/>
    </row>
    <row r="6" spans="1:120" s="43" customFormat="1" ht="8.25" customHeight="1" thickTop="1" x14ac:dyDescent="0.25">
      <c r="A6"/>
      <c r="B6" s="42"/>
      <c r="C6" s="42"/>
      <c r="D6" s="42"/>
      <c r="E6" s="42"/>
      <c r="F6" s="42"/>
      <c r="G6" s="42"/>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753"/>
      <c r="AZ6" s="753"/>
      <c r="BA6" s="753"/>
      <c r="BB6" s="753"/>
      <c r="BC6" s="753"/>
      <c r="BD6" s="753"/>
      <c r="BE6" s="753"/>
      <c r="BF6" s="753"/>
      <c r="BG6" s="753"/>
      <c r="BH6" s="753"/>
      <c r="BI6" s="753"/>
      <c r="BJ6" s="753"/>
      <c r="BK6" s="753"/>
      <c r="BL6" s="753"/>
      <c r="BM6" s="753"/>
      <c r="BN6" s="753"/>
      <c r="BO6" s="753"/>
      <c r="BP6" s="753"/>
      <c r="BQ6" s="753"/>
      <c r="BR6" s="753"/>
      <c r="BS6" s="753"/>
      <c r="BT6" s="753"/>
      <c r="BU6" s="753"/>
      <c r="BV6" s="753"/>
      <c r="BW6" s="753"/>
      <c r="BX6" s="753"/>
      <c r="BY6" s="753"/>
      <c r="BZ6" s="753"/>
      <c r="CA6" s="753"/>
      <c r="CB6" s="753"/>
      <c r="CC6" s="753"/>
      <c r="CD6" s="753"/>
      <c r="CE6" s="753"/>
      <c r="CF6" s="753"/>
      <c r="CG6" s="753"/>
      <c r="CH6" s="753"/>
      <c r="CI6" s="753"/>
      <c r="CJ6" s="753"/>
      <c r="CK6" s="753"/>
      <c r="CL6" s="753"/>
      <c r="CM6" s="753"/>
      <c r="CN6" s="753"/>
      <c r="CO6" s="753"/>
      <c r="CP6" s="753"/>
      <c r="CQ6" s="753"/>
      <c r="CR6" s="753"/>
      <c r="CS6" s="753"/>
      <c r="CT6" s="753"/>
      <c r="CU6" s="753"/>
      <c r="CV6" s="753"/>
      <c r="CW6" s="753"/>
      <c r="CX6" s="753"/>
      <c r="CY6" s="753"/>
      <c r="CZ6" s="753"/>
      <c r="DA6" s="753"/>
      <c r="DB6" s="753"/>
      <c r="DC6" s="753"/>
      <c r="DD6" s="753"/>
      <c r="DE6" s="753"/>
      <c r="DF6" s="753"/>
      <c r="DG6" s="753"/>
      <c r="DH6" s="753"/>
      <c r="DI6" s="753"/>
      <c r="DJ6" s="753"/>
      <c r="DK6" s="753"/>
      <c r="DL6" s="753"/>
      <c r="DM6" s="753"/>
      <c r="DN6" s="753"/>
      <c r="DO6" s="753"/>
      <c r="DP6" s="753"/>
    </row>
    <row r="7" spans="1:120" ht="21" thickBot="1" x14ac:dyDescent="0.35">
      <c r="B7" s="44"/>
      <c r="C7" s="97" t="s">
        <v>582</v>
      </c>
      <c r="D7" s="97"/>
      <c r="E7" s="97"/>
      <c r="F7" s="97"/>
      <c r="G7" s="97"/>
      <c r="H7" s="223"/>
      <c r="I7" s="186" t="s">
        <v>583</v>
      </c>
      <c r="J7" s="186"/>
      <c r="K7" s="186" t="s">
        <v>584</v>
      </c>
      <c r="M7" s="186" t="e">
        <f>I7-366</f>
        <v>#VALUE!</v>
      </c>
      <c r="N7" s="753"/>
      <c r="U7" s="753"/>
      <c r="V7" s="753"/>
      <c r="W7" s="753"/>
      <c r="X7" s="753"/>
      <c r="Y7" s="753"/>
      <c r="Z7" s="753"/>
      <c r="AA7" s="753"/>
      <c r="AB7" s="753"/>
      <c r="AC7" s="753"/>
      <c r="AD7" s="753"/>
      <c r="AE7" s="753"/>
      <c r="AF7" s="753"/>
      <c r="AG7" s="753"/>
      <c r="AH7" s="753"/>
      <c r="AI7" s="753"/>
      <c r="AJ7" s="753"/>
      <c r="AK7" s="753"/>
      <c r="AL7" s="753"/>
      <c r="AM7" s="753"/>
      <c r="AN7" s="753"/>
      <c r="AO7" s="753"/>
      <c r="AP7" s="753"/>
      <c r="AQ7" s="753"/>
      <c r="AR7" s="753"/>
      <c r="AS7" s="753"/>
      <c r="AT7" s="753"/>
      <c r="AU7" s="753"/>
      <c r="AV7" s="753"/>
      <c r="AW7" s="753"/>
      <c r="AX7" s="753"/>
      <c r="AY7" s="753"/>
      <c r="AZ7" s="753"/>
      <c r="BA7" s="753"/>
      <c r="BB7" s="753"/>
      <c r="BC7" s="753"/>
      <c r="BD7" s="753"/>
      <c r="BE7" s="753"/>
      <c r="BF7" s="753"/>
      <c r="BG7" s="753"/>
      <c r="BH7" s="753"/>
      <c r="BI7" s="753"/>
      <c r="BJ7" s="753"/>
      <c r="BK7" s="753"/>
      <c r="BL7" s="753"/>
      <c r="BM7" s="753"/>
      <c r="BN7" s="753"/>
      <c r="BO7" s="753"/>
      <c r="BP7" s="753"/>
      <c r="BQ7" s="753"/>
      <c r="BR7" s="753"/>
      <c r="BS7" s="753"/>
      <c r="BT7" s="753"/>
      <c r="BU7" s="753"/>
      <c r="BV7" s="753"/>
      <c r="BW7" s="753"/>
      <c r="BX7" s="753"/>
      <c r="BY7" s="753"/>
      <c r="BZ7" s="753"/>
      <c r="CA7" s="753"/>
      <c r="CB7" s="753"/>
      <c r="CC7" s="753"/>
      <c r="CD7" s="753"/>
      <c r="CE7" s="753"/>
      <c r="CF7" s="753"/>
      <c r="CG7" s="753"/>
      <c r="CH7" s="753"/>
      <c r="CI7" s="753"/>
      <c r="CJ7" s="753"/>
      <c r="CK7" s="753"/>
      <c r="CL7" s="753"/>
      <c r="CM7" s="753"/>
      <c r="CN7" s="753"/>
      <c r="CO7" s="753"/>
      <c r="CP7" s="753"/>
      <c r="CQ7" s="753"/>
      <c r="CR7" s="753"/>
      <c r="CS7" s="753"/>
      <c r="CT7" s="753"/>
      <c r="CU7" s="753"/>
      <c r="CV7" s="753"/>
      <c r="CW7" s="753"/>
      <c r="CX7" s="753"/>
      <c r="CY7" s="753"/>
      <c r="CZ7" s="753"/>
      <c r="DA7" s="753"/>
      <c r="DB7" s="753"/>
      <c r="DC7" s="753"/>
      <c r="DD7" s="753"/>
      <c r="DE7" s="753"/>
      <c r="DF7" s="753"/>
      <c r="DG7" s="753"/>
      <c r="DH7" s="753"/>
      <c r="DI7" s="753"/>
      <c r="DJ7" s="753"/>
      <c r="DK7" s="753"/>
      <c r="DL7" s="753"/>
      <c r="DM7" s="753"/>
      <c r="DN7" s="753"/>
      <c r="DO7" s="753"/>
      <c r="DP7" s="753"/>
    </row>
    <row r="8" spans="1:120" s="43" customFormat="1" ht="6.75" customHeight="1" x14ac:dyDescent="0.25">
      <c r="A8"/>
      <c r="B8" s="42"/>
      <c r="C8" s="42"/>
      <c r="D8" s="42"/>
      <c r="E8" s="42"/>
      <c r="F8" s="42"/>
      <c r="G8" s="42"/>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c r="AN8" s="753"/>
      <c r="AO8" s="753"/>
      <c r="AP8" s="753"/>
      <c r="AQ8" s="753"/>
      <c r="AR8" s="753"/>
      <c r="AS8" s="753"/>
      <c r="AT8" s="753"/>
      <c r="AU8" s="753"/>
      <c r="AV8" s="753"/>
      <c r="AW8" s="753"/>
      <c r="AX8" s="753"/>
      <c r="AY8" s="753"/>
      <c r="AZ8" s="753"/>
      <c r="BA8" s="753"/>
      <c r="BB8" s="753"/>
      <c r="BC8" s="753"/>
      <c r="BD8" s="753"/>
      <c r="BE8" s="753"/>
      <c r="BF8" s="753"/>
      <c r="BG8" s="753"/>
      <c r="BH8" s="753"/>
      <c r="BI8" s="753"/>
      <c r="BJ8" s="753"/>
      <c r="BK8" s="753"/>
      <c r="BL8" s="753"/>
      <c r="BM8" s="753"/>
      <c r="BN8" s="753"/>
      <c r="BO8" s="753"/>
      <c r="BP8" s="753"/>
      <c r="BQ8" s="753"/>
      <c r="BR8" s="753"/>
      <c r="BS8" s="753"/>
      <c r="BT8" s="753"/>
      <c r="BU8" s="753"/>
      <c r="BV8" s="753"/>
      <c r="BW8" s="753"/>
      <c r="BX8" s="753"/>
      <c r="BY8" s="753"/>
      <c r="BZ8" s="753"/>
      <c r="CA8" s="753"/>
      <c r="CB8" s="753"/>
      <c r="CC8" s="753"/>
      <c r="CD8" s="753"/>
      <c r="CE8" s="753"/>
      <c r="CF8" s="753"/>
      <c r="CG8" s="753"/>
      <c r="CH8" s="753"/>
      <c r="CI8" s="753"/>
      <c r="CJ8" s="753"/>
      <c r="CK8" s="753"/>
      <c r="CL8" s="753"/>
      <c r="CM8" s="753"/>
      <c r="CN8" s="753"/>
      <c r="CO8" s="753"/>
      <c r="CP8" s="753"/>
      <c r="CQ8" s="753"/>
      <c r="CR8" s="753"/>
      <c r="CS8" s="753"/>
      <c r="CT8" s="753"/>
      <c r="CU8" s="753"/>
      <c r="CV8" s="753"/>
      <c r="CW8" s="753"/>
      <c r="CX8" s="753"/>
      <c r="CY8" s="753"/>
      <c r="CZ8" s="753"/>
      <c r="DA8" s="753"/>
      <c r="DB8" s="753"/>
      <c r="DC8" s="753"/>
      <c r="DD8" s="753"/>
      <c r="DE8" s="753"/>
      <c r="DF8" s="753"/>
      <c r="DG8" s="753"/>
      <c r="DH8" s="753"/>
      <c r="DI8" s="753"/>
      <c r="DJ8" s="753"/>
      <c r="DK8" s="753"/>
      <c r="DL8" s="753"/>
      <c r="DM8" s="753"/>
      <c r="DN8" s="753"/>
      <c r="DO8" s="753"/>
      <c r="DP8" s="753"/>
    </row>
    <row r="9" spans="1:120" s="43" customFormat="1" ht="20.25" x14ac:dyDescent="0.25">
      <c r="A9"/>
      <c r="B9" s="42"/>
      <c r="C9" s="42"/>
      <c r="D9" s="42" t="s">
        <v>585</v>
      </c>
      <c r="E9" s="42"/>
      <c r="F9" s="42"/>
      <c r="G9" s="42"/>
      <c r="N9" s="753"/>
      <c r="O9" s="753"/>
      <c r="P9" s="753"/>
      <c r="Q9" s="753"/>
      <c r="R9" s="753"/>
      <c r="S9" s="753"/>
      <c r="T9" s="753"/>
      <c r="U9" s="753"/>
      <c r="V9" s="753"/>
      <c r="W9" s="753"/>
      <c r="X9" s="753"/>
      <c r="Y9" s="753"/>
      <c r="Z9" s="753"/>
      <c r="AA9" s="753"/>
      <c r="AB9" s="753"/>
      <c r="AC9" s="753"/>
      <c r="AD9" s="753"/>
      <c r="AE9" s="753"/>
      <c r="AF9" s="753"/>
      <c r="AG9" s="753"/>
      <c r="AH9" s="753"/>
      <c r="AI9" s="753"/>
      <c r="AJ9" s="753"/>
      <c r="AK9" s="753"/>
      <c r="AL9" s="753"/>
      <c r="AM9" s="753"/>
      <c r="AN9" s="753"/>
      <c r="AO9" s="753"/>
      <c r="AP9" s="753"/>
      <c r="AQ9" s="753"/>
      <c r="AR9" s="753"/>
      <c r="AS9" s="753"/>
      <c r="AT9" s="753"/>
      <c r="AU9" s="753"/>
      <c r="AV9" s="753"/>
      <c r="AW9" s="753"/>
      <c r="AX9" s="753"/>
      <c r="AY9" s="753"/>
      <c r="AZ9" s="753"/>
      <c r="BA9" s="753"/>
      <c r="BB9" s="753"/>
      <c r="BC9" s="753"/>
      <c r="BD9" s="753"/>
      <c r="BE9" s="753"/>
      <c r="BF9" s="753"/>
      <c r="BG9" s="753"/>
      <c r="BH9" s="753"/>
      <c r="BI9" s="753"/>
      <c r="BJ9" s="753"/>
      <c r="BK9" s="753"/>
      <c r="BL9" s="753"/>
      <c r="BM9" s="753"/>
      <c r="BN9" s="753"/>
      <c r="BO9" s="753"/>
      <c r="BP9" s="753"/>
      <c r="BQ9" s="753"/>
      <c r="BR9" s="753"/>
      <c r="BS9" s="753"/>
      <c r="BT9" s="753"/>
      <c r="BU9" s="753"/>
      <c r="BV9" s="753"/>
      <c r="BW9" s="753"/>
      <c r="BX9" s="753"/>
      <c r="BY9" s="753"/>
      <c r="BZ9" s="753"/>
      <c r="CA9" s="753"/>
      <c r="CB9" s="753"/>
      <c r="CC9" s="753"/>
      <c r="CD9" s="753"/>
      <c r="CE9" s="753"/>
      <c r="CF9" s="753"/>
      <c r="CG9" s="753"/>
      <c r="CH9" s="753"/>
      <c r="CI9" s="753"/>
      <c r="CJ9" s="753"/>
      <c r="CK9" s="753"/>
      <c r="CL9" s="753"/>
      <c r="CM9" s="753"/>
      <c r="CN9" s="753"/>
      <c r="CO9" s="753"/>
      <c r="CP9" s="753"/>
      <c r="CQ9" s="753"/>
      <c r="CR9" s="753"/>
      <c r="CS9" s="753"/>
      <c r="CT9" s="753"/>
      <c r="CU9" s="753"/>
      <c r="CV9" s="753"/>
      <c r="CW9" s="753"/>
      <c r="CX9" s="753"/>
      <c r="CY9" s="753"/>
      <c r="CZ9" s="753"/>
      <c r="DA9" s="753"/>
      <c r="DB9" s="753"/>
      <c r="DC9" s="753"/>
      <c r="DD9" s="753"/>
      <c r="DE9" s="753"/>
      <c r="DF9" s="753"/>
      <c r="DG9" s="753"/>
      <c r="DH9" s="753"/>
      <c r="DI9" s="753"/>
      <c r="DJ9" s="753"/>
      <c r="DK9" s="753"/>
      <c r="DL9" s="753"/>
      <c r="DM9" s="753"/>
      <c r="DN9" s="753"/>
      <c r="DO9" s="753"/>
      <c r="DP9" s="753"/>
    </row>
    <row r="10" spans="1:120" s="43" customFormat="1" ht="20.25" hidden="1" x14ac:dyDescent="0.25">
      <c r="A10"/>
      <c r="B10" s="46"/>
      <c r="C10" s="46"/>
      <c r="D10" s="46"/>
      <c r="E10" s="46" t="s">
        <v>586</v>
      </c>
      <c r="F10" s="46"/>
      <c r="G10" s="46"/>
      <c r="H10" s="173"/>
      <c r="I10" s="173" t="s">
        <v>587</v>
      </c>
      <c r="J10" s="173"/>
      <c r="K10" s="173" t="s">
        <v>587</v>
      </c>
      <c r="M10" s="173" t="s">
        <v>587</v>
      </c>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c r="BC10" s="753"/>
      <c r="BD10" s="753"/>
      <c r="BE10" s="753"/>
      <c r="BF10" s="753"/>
      <c r="BG10" s="753"/>
      <c r="BH10" s="753"/>
      <c r="BI10" s="753"/>
      <c r="BJ10" s="753"/>
      <c r="BK10" s="753"/>
      <c r="BL10" s="753"/>
      <c r="BM10" s="753"/>
      <c r="BN10" s="753"/>
      <c r="BO10" s="753"/>
      <c r="BP10" s="753"/>
      <c r="BQ10" s="753"/>
      <c r="BR10" s="753"/>
      <c r="BS10" s="753"/>
      <c r="BT10" s="753"/>
      <c r="BU10" s="753"/>
      <c r="BV10" s="753"/>
      <c r="BW10" s="753"/>
      <c r="BX10" s="753"/>
      <c r="BY10" s="753"/>
      <c r="BZ10" s="753"/>
      <c r="CA10" s="753"/>
      <c r="CB10" s="753"/>
      <c r="CC10" s="753"/>
      <c r="CD10" s="753"/>
      <c r="CE10" s="753"/>
      <c r="CF10" s="753"/>
      <c r="CG10" s="753"/>
      <c r="CH10" s="753"/>
      <c r="CI10" s="753"/>
      <c r="CJ10" s="753"/>
      <c r="CK10" s="753"/>
      <c r="CL10" s="753"/>
      <c r="CM10" s="753"/>
      <c r="CN10" s="753"/>
      <c r="CO10" s="753"/>
      <c r="CP10" s="753"/>
      <c r="CQ10" s="753"/>
      <c r="CR10" s="753"/>
      <c r="CS10" s="753"/>
      <c r="CT10" s="753"/>
      <c r="CU10" s="753"/>
      <c r="CV10" s="753"/>
      <c r="CW10" s="753"/>
      <c r="CX10" s="753"/>
      <c r="CY10" s="753"/>
      <c r="CZ10" s="753"/>
      <c r="DA10" s="753"/>
      <c r="DB10" s="753"/>
      <c r="DC10" s="753"/>
      <c r="DD10" s="753"/>
      <c r="DE10" s="753"/>
      <c r="DF10" s="753"/>
      <c r="DG10" s="753"/>
      <c r="DH10" s="753"/>
      <c r="DI10" s="753"/>
      <c r="DJ10" s="753"/>
      <c r="DK10" s="753"/>
      <c r="DL10" s="753"/>
      <c r="DM10" s="753"/>
      <c r="DN10" s="753"/>
      <c r="DO10" s="753"/>
      <c r="DP10" s="753"/>
    </row>
    <row r="11" spans="1:120" s="43" customFormat="1" ht="20.25" hidden="1" x14ac:dyDescent="0.25">
      <c r="A11"/>
      <c r="B11" s="46"/>
      <c r="C11" s="46"/>
      <c r="D11" s="46"/>
      <c r="E11" s="46" t="s">
        <v>588</v>
      </c>
      <c r="F11" s="46"/>
      <c r="G11" s="46"/>
      <c r="H11" s="173"/>
      <c r="I11" s="173" t="s">
        <v>587</v>
      </c>
      <c r="J11" s="173"/>
      <c r="K11" s="173" t="s">
        <v>587</v>
      </c>
      <c r="M11" s="173" t="s">
        <v>587</v>
      </c>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3"/>
      <c r="BA11" s="753"/>
      <c r="BB11" s="753"/>
      <c r="BC11" s="753"/>
      <c r="BD11" s="753"/>
      <c r="BE11" s="753"/>
      <c r="BF11" s="753"/>
      <c r="BG11" s="753"/>
      <c r="BH11" s="753"/>
      <c r="BI11" s="753"/>
      <c r="BJ11" s="753"/>
      <c r="BK11" s="753"/>
      <c r="BL11" s="753"/>
      <c r="BM11" s="753"/>
      <c r="BN11" s="753"/>
      <c r="BO11" s="753"/>
      <c r="BP11" s="753"/>
      <c r="BQ11" s="753"/>
      <c r="BR11" s="753"/>
      <c r="BS11" s="753"/>
      <c r="BT11" s="753"/>
      <c r="BU11" s="753"/>
      <c r="BV11" s="753"/>
      <c r="BW11" s="753"/>
      <c r="BX11" s="753"/>
      <c r="BY11" s="753"/>
      <c r="BZ11" s="753"/>
      <c r="CA11" s="753"/>
      <c r="CB11" s="753"/>
      <c r="CC11" s="753"/>
      <c r="CD11" s="753"/>
      <c r="CE11" s="753"/>
      <c r="CF11" s="753"/>
      <c r="CG11" s="753"/>
      <c r="CH11" s="753"/>
      <c r="CI11" s="753"/>
      <c r="CJ11" s="753"/>
      <c r="CK11" s="753"/>
      <c r="CL11" s="753"/>
      <c r="CM11" s="753"/>
      <c r="CN11" s="753"/>
      <c r="CO11" s="753"/>
      <c r="CP11" s="753"/>
      <c r="CQ11" s="753"/>
      <c r="CR11" s="753"/>
      <c r="CS11" s="753"/>
      <c r="CT11" s="753"/>
      <c r="CU11" s="753"/>
      <c r="CV11" s="753"/>
      <c r="CW11" s="753"/>
      <c r="CX11" s="753"/>
      <c r="CY11" s="753"/>
      <c r="CZ11" s="753"/>
      <c r="DA11" s="753"/>
      <c r="DB11" s="753"/>
      <c r="DC11" s="753"/>
      <c r="DD11" s="753"/>
      <c r="DE11" s="753"/>
      <c r="DF11" s="753"/>
      <c r="DG11" s="753"/>
      <c r="DH11" s="753"/>
      <c r="DI11" s="753"/>
      <c r="DJ11" s="753"/>
      <c r="DK11" s="753"/>
      <c r="DL11" s="753"/>
      <c r="DM11" s="753"/>
      <c r="DN11" s="753"/>
      <c r="DO11" s="753"/>
      <c r="DP11" s="753"/>
    </row>
    <row r="12" spans="1:120" s="43" customFormat="1" ht="20.25" x14ac:dyDescent="0.25">
      <c r="A12"/>
      <c r="B12" s="46"/>
      <c r="C12" s="46"/>
      <c r="D12" s="46"/>
      <c r="E12" s="46" t="s">
        <v>589</v>
      </c>
      <c r="F12" s="46"/>
      <c r="G12" s="46"/>
      <c r="H12" s="159"/>
      <c r="I12" s="159">
        <v>189686.3</v>
      </c>
      <c r="J12" s="159"/>
      <c r="K12" s="159">
        <v>178921</v>
      </c>
      <c r="M12" s="159">
        <v>403401</v>
      </c>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753"/>
      <c r="AS12" s="753"/>
      <c r="AT12" s="753"/>
      <c r="AU12" s="753"/>
      <c r="AV12" s="753"/>
      <c r="AW12" s="753"/>
      <c r="AX12" s="753"/>
      <c r="AY12" s="753"/>
      <c r="AZ12" s="753"/>
      <c r="BA12" s="753"/>
      <c r="BB12" s="753"/>
      <c r="BC12" s="753"/>
      <c r="BD12" s="753"/>
      <c r="BE12" s="753"/>
      <c r="BF12" s="753"/>
      <c r="BG12" s="753"/>
      <c r="BH12" s="753"/>
      <c r="BI12" s="753"/>
      <c r="BJ12" s="753"/>
      <c r="BK12" s="753"/>
      <c r="BL12" s="753"/>
      <c r="BM12" s="753"/>
      <c r="BN12" s="753"/>
      <c r="BO12" s="753"/>
      <c r="BP12" s="753"/>
      <c r="BQ12" s="753"/>
      <c r="BR12" s="753"/>
      <c r="BS12" s="753"/>
      <c r="BT12" s="753"/>
      <c r="BU12" s="753"/>
      <c r="BV12" s="753"/>
      <c r="BW12" s="753"/>
      <c r="BX12" s="753"/>
      <c r="BY12" s="753"/>
      <c r="BZ12" s="753"/>
      <c r="CA12" s="753"/>
      <c r="CB12" s="753"/>
      <c r="CC12" s="753"/>
      <c r="CD12" s="753"/>
      <c r="CE12" s="753"/>
      <c r="CF12" s="753"/>
      <c r="CG12" s="753"/>
      <c r="CH12" s="753"/>
      <c r="CI12" s="753"/>
      <c r="CJ12" s="753"/>
      <c r="CK12" s="753"/>
      <c r="CL12" s="753"/>
      <c r="CM12" s="753"/>
      <c r="CN12" s="753"/>
      <c r="CO12" s="753"/>
      <c r="CP12" s="753"/>
      <c r="CQ12" s="753"/>
      <c r="CR12" s="753"/>
      <c r="CS12" s="753"/>
      <c r="CT12" s="753"/>
      <c r="CU12" s="753"/>
      <c r="CV12" s="753"/>
      <c r="CW12" s="753"/>
      <c r="CX12" s="753"/>
      <c r="CY12" s="753"/>
      <c r="CZ12" s="753"/>
      <c r="DA12" s="753"/>
      <c r="DB12" s="753"/>
      <c r="DC12" s="753"/>
      <c r="DD12" s="753"/>
      <c r="DE12" s="753"/>
      <c r="DF12" s="753"/>
      <c r="DG12" s="753"/>
      <c r="DH12" s="753"/>
      <c r="DI12" s="753"/>
      <c r="DJ12" s="753"/>
      <c r="DK12" s="753"/>
      <c r="DL12" s="753"/>
      <c r="DM12" s="753"/>
      <c r="DN12" s="753"/>
      <c r="DO12" s="753"/>
      <c r="DP12" s="753"/>
    </row>
    <row r="13" spans="1:120" s="43" customFormat="1" ht="20.25" x14ac:dyDescent="0.25">
      <c r="A13"/>
      <c r="B13" s="46"/>
      <c r="C13" s="46"/>
      <c r="D13" s="46"/>
      <c r="E13" s="46" t="s">
        <v>590</v>
      </c>
      <c r="F13" s="46"/>
      <c r="G13" s="46"/>
      <c r="H13" s="159"/>
      <c r="I13" s="150">
        <v>261718</v>
      </c>
      <c r="J13" s="159"/>
      <c r="K13" s="159">
        <v>252348</v>
      </c>
      <c r="M13" s="159"/>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753"/>
      <c r="AS13" s="753"/>
      <c r="AT13" s="753"/>
      <c r="AU13" s="753"/>
      <c r="AV13" s="753"/>
      <c r="AW13" s="753"/>
      <c r="AX13" s="753"/>
      <c r="AY13" s="753"/>
      <c r="AZ13" s="753"/>
      <c r="BA13" s="753"/>
      <c r="BB13" s="753"/>
      <c r="BC13" s="753"/>
      <c r="BD13" s="753"/>
      <c r="BE13" s="753"/>
      <c r="BF13" s="753"/>
      <c r="BG13" s="753"/>
      <c r="BH13" s="753"/>
      <c r="BI13" s="753"/>
      <c r="BJ13" s="753"/>
      <c r="BK13" s="753"/>
      <c r="BL13" s="753"/>
      <c r="BM13" s="753"/>
      <c r="BN13" s="753"/>
      <c r="BO13" s="753"/>
      <c r="BP13" s="753"/>
      <c r="BQ13" s="753"/>
      <c r="BR13" s="753"/>
      <c r="BS13" s="753"/>
      <c r="BT13" s="753"/>
      <c r="BU13" s="753"/>
      <c r="BV13" s="753"/>
      <c r="BW13" s="753"/>
      <c r="BX13" s="753"/>
      <c r="BY13" s="753"/>
      <c r="BZ13" s="753"/>
      <c r="CA13" s="753"/>
      <c r="CB13" s="753"/>
      <c r="CC13" s="753"/>
      <c r="CD13" s="753"/>
      <c r="CE13" s="753"/>
      <c r="CF13" s="753"/>
      <c r="CG13" s="753"/>
      <c r="CH13" s="753"/>
      <c r="CI13" s="753"/>
      <c r="CJ13" s="753"/>
      <c r="CK13" s="753"/>
      <c r="CL13" s="753"/>
      <c r="CM13" s="753"/>
      <c r="CN13" s="753"/>
      <c r="CO13" s="753"/>
      <c r="CP13" s="753"/>
      <c r="CQ13" s="753"/>
      <c r="CR13" s="753"/>
      <c r="CS13" s="753"/>
      <c r="CT13" s="753"/>
      <c r="CU13" s="753"/>
      <c r="CV13" s="753"/>
      <c r="CW13" s="753"/>
      <c r="CX13" s="753"/>
      <c r="CY13" s="753"/>
      <c r="CZ13" s="753"/>
      <c r="DA13" s="753"/>
      <c r="DB13" s="753"/>
      <c r="DC13" s="753"/>
      <c r="DD13" s="753"/>
      <c r="DE13" s="753"/>
      <c r="DF13" s="753"/>
      <c r="DG13" s="753"/>
      <c r="DH13" s="753"/>
      <c r="DI13" s="753"/>
      <c r="DJ13" s="753"/>
      <c r="DK13" s="753"/>
      <c r="DL13" s="753"/>
      <c r="DM13" s="753"/>
      <c r="DN13" s="753"/>
      <c r="DO13" s="753"/>
      <c r="DP13" s="753"/>
    </row>
    <row r="14" spans="1:120" s="43" customFormat="1" ht="20.25" x14ac:dyDescent="0.25">
      <c r="A14"/>
      <c r="B14" s="46"/>
      <c r="C14" s="46"/>
      <c r="D14" s="46"/>
      <c r="E14" s="46" t="s">
        <v>591</v>
      </c>
      <c r="F14" s="46"/>
      <c r="G14" s="46"/>
      <c r="H14" s="150"/>
      <c r="I14" s="150">
        <v>3469.8</v>
      </c>
      <c r="J14" s="150"/>
      <c r="K14" s="150">
        <v>200.01</v>
      </c>
      <c r="M14" s="150">
        <v>199.93</v>
      </c>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3"/>
      <c r="AM14" s="753"/>
      <c r="AN14" s="753"/>
      <c r="AO14" s="753"/>
      <c r="AP14" s="753"/>
      <c r="AQ14" s="753"/>
      <c r="AR14" s="753"/>
      <c r="AS14" s="753"/>
      <c r="AT14" s="753"/>
      <c r="AU14" s="753"/>
      <c r="AV14" s="753"/>
      <c r="AW14" s="753"/>
      <c r="AX14" s="753"/>
      <c r="AY14" s="753"/>
      <c r="AZ14" s="753"/>
      <c r="BA14" s="753"/>
      <c r="BB14" s="753"/>
      <c r="BC14" s="753"/>
      <c r="BD14" s="753"/>
      <c r="BE14" s="753"/>
      <c r="BF14" s="753"/>
      <c r="BG14" s="753"/>
      <c r="BH14" s="753"/>
      <c r="BI14" s="753"/>
      <c r="BJ14" s="753"/>
      <c r="BK14" s="753"/>
      <c r="BL14" s="753"/>
      <c r="BM14" s="753"/>
      <c r="BN14" s="753"/>
      <c r="BO14" s="753"/>
      <c r="BP14" s="753"/>
      <c r="BQ14" s="753"/>
      <c r="BR14" s="753"/>
      <c r="BS14" s="753"/>
      <c r="BT14" s="753"/>
      <c r="BU14" s="753"/>
      <c r="BV14" s="753"/>
      <c r="BW14" s="753"/>
      <c r="BX14" s="753"/>
      <c r="BY14" s="753"/>
      <c r="BZ14" s="753"/>
      <c r="CA14" s="753"/>
      <c r="CB14" s="753"/>
      <c r="CC14" s="753"/>
      <c r="CD14" s="753"/>
      <c r="CE14" s="753"/>
      <c r="CF14" s="753"/>
      <c r="CG14" s="753"/>
      <c r="CH14" s="753"/>
      <c r="CI14" s="753"/>
      <c r="CJ14" s="753"/>
      <c r="CK14" s="753"/>
      <c r="CL14" s="753"/>
      <c r="CM14" s="753"/>
      <c r="CN14" s="753"/>
      <c r="CO14" s="753"/>
      <c r="CP14" s="753"/>
      <c r="CQ14" s="753"/>
      <c r="CR14" s="753"/>
      <c r="CS14" s="753"/>
      <c r="CT14" s="753"/>
      <c r="CU14" s="753"/>
      <c r="CV14" s="753"/>
      <c r="CW14" s="753"/>
      <c r="CX14" s="753"/>
      <c r="CY14" s="753"/>
      <c r="CZ14" s="753"/>
      <c r="DA14" s="753"/>
      <c r="DB14" s="753"/>
      <c r="DC14" s="753"/>
      <c r="DD14" s="753"/>
      <c r="DE14" s="753"/>
      <c r="DF14" s="753"/>
      <c r="DG14" s="753"/>
      <c r="DH14" s="753"/>
      <c r="DI14" s="753"/>
      <c r="DJ14" s="753"/>
      <c r="DK14" s="753"/>
      <c r="DL14" s="753"/>
      <c r="DM14" s="753"/>
      <c r="DN14" s="753"/>
      <c r="DO14" s="753"/>
      <c r="DP14" s="753"/>
    </row>
    <row r="15" spans="1:120" s="43" customFormat="1" ht="20.25" x14ac:dyDescent="0.25">
      <c r="A15"/>
      <c r="B15" s="46"/>
      <c r="C15" s="46"/>
      <c r="D15" s="47"/>
      <c r="E15" s="47" t="s">
        <v>592</v>
      </c>
      <c r="F15" s="47"/>
      <c r="G15" s="47"/>
      <c r="H15" s="150"/>
      <c r="I15" s="152">
        <v>200</v>
      </c>
      <c r="J15" s="150"/>
      <c r="K15" s="152">
        <v>200</v>
      </c>
      <c r="M15" s="152">
        <v>200</v>
      </c>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3"/>
      <c r="AM15" s="753"/>
      <c r="AN15" s="753"/>
      <c r="AO15" s="753"/>
      <c r="AP15" s="753"/>
      <c r="AQ15" s="753"/>
      <c r="AR15" s="753"/>
      <c r="AS15" s="753"/>
      <c r="AT15" s="753"/>
      <c r="AU15" s="753"/>
      <c r="AV15" s="753"/>
      <c r="AW15" s="753"/>
      <c r="AX15" s="753"/>
      <c r="AY15" s="753"/>
      <c r="AZ15" s="753"/>
      <c r="BA15" s="753"/>
      <c r="BB15" s="753"/>
      <c r="BC15" s="753"/>
      <c r="BD15" s="753"/>
      <c r="BE15" s="753"/>
      <c r="BF15" s="753"/>
      <c r="BG15" s="753"/>
      <c r="BH15" s="753"/>
      <c r="BI15" s="753"/>
      <c r="BJ15" s="753"/>
      <c r="BK15" s="753"/>
      <c r="BL15" s="753"/>
      <c r="BM15" s="753"/>
      <c r="BN15" s="753"/>
      <c r="BO15" s="753"/>
      <c r="BP15" s="753"/>
      <c r="BQ15" s="753"/>
      <c r="BR15" s="753"/>
      <c r="BS15" s="753"/>
      <c r="BT15" s="753"/>
      <c r="BU15" s="753"/>
      <c r="BV15" s="753"/>
      <c r="BW15" s="753"/>
      <c r="BX15" s="753"/>
      <c r="BY15" s="753"/>
      <c r="BZ15" s="753"/>
      <c r="CA15" s="753"/>
      <c r="CB15" s="753"/>
      <c r="CC15" s="753"/>
      <c r="CD15" s="753"/>
      <c r="CE15" s="753"/>
      <c r="CF15" s="753"/>
      <c r="CG15" s="753"/>
      <c r="CH15" s="753"/>
      <c r="CI15" s="753"/>
      <c r="CJ15" s="753"/>
      <c r="CK15" s="753"/>
      <c r="CL15" s="753"/>
      <c r="CM15" s="753"/>
      <c r="CN15" s="753"/>
      <c r="CO15" s="753"/>
      <c r="CP15" s="753"/>
      <c r="CQ15" s="753"/>
      <c r="CR15" s="753"/>
      <c r="CS15" s="753"/>
      <c r="CT15" s="753"/>
      <c r="CU15" s="753"/>
      <c r="CV15" s="753"/>
      <c r="CW15" s="753"/>
      <c r="CX15" s="753"/>
      <c r="CY15" s="753"/>
      <c r="CZ15" s="753"/>
      <c r="DA15" s="753"/>
      <c r="DB15" s="753"/>
      <c r="DC15" s="753"/>
      <c r="DD15" s="753"/>
      <c r="DE15" s="753"/>
      <c r="DF15" s="753"/>
      <c r="DG15" s="753"/>
      <c r="DH15" s="753"/>
      <c r="DI15" s="753"/>
      <c r="DJ15" s="753"/>
      <c r="DK15" s="753"/>
      <c r="DL15" s="753"/>
      <c r="DM15" s="753"/>
      <c r="DN15" s="753"/>
      <c r="DO15" s="753"/>
      <c r="DP15" s="753"/>
    </row>
    <row r="16" spans="1:120" s="43" customFormat="1" ht="20.25" x14ac:dyDescent="0.25">
      <c r="A16"/>
      <c r="B16" s="42"/>
      <c r="C16" s="42"/>
      <c r="D16" s="42" t="s">
        <v>593</v>
      </c>
      <c r="E16" s="42"/>
      <c r="F16" s="42"/>
      <c r="G16" s="42"/>
      <c r="H16" s="153"/>
      <c r="I16" s="153">
        <f>SUM(I12:I15)</f>
        <v>455074.1</v>
      </c>
      <c r="J16" s="153"/>
      <c r="K16" s="153">
        <f>SUM(K12:K15)</f>
        <v>431669.01</v>
      </c>
      <c r="M16" s="153">
        <f>ROUND(SUM(M9:M15),5)</f>
        <v>403800.93</v>
      </c>
      <c r="N16" s="753"/>
      <c r="O16" s="753"/>
      <c r="P16" s="753"/>
      <c r="Q16" s="753"/>
      <c r="R16" s="753"/>
      <c r="S16" s="753"/>
      <c r="T16" s="753"/>
      <c r="U16" s="753"/>
      <c r="V16" s="753"/>
      <c r="W16" s="753"/>
      <c r="X16" s="753"/>
      <c r="Y16" s="753"/>
      <c r="Z16" s="753"/>
      <c r="AA16" s="753"/>
      <c r="AB16" s="753"/>
      <c r="AC16" s="753"/>
      <c r="AD16" s="753"/>
      <c r="AE16" s="753"/>
      <c r="AF16" s="753"/>
      <c r="AG16" s="753"/>
      <c r="AH16" s="753"/>
      <c r="AI16" s="753"/>
      <c r="AJ16" s="753"/>
      <c r="AK16" s="753"/>
      <c r="AL16" s="753"/>
      <c r="AM16" s="753"/>
      <c r="AN16" s="753"/>
      <c r="AO16" s="753"/>
      <c r="AP16" s="753"/>
      <c r="AQ16" s="753"/>
      <c r="AR16" s="753"/>
      <c r="AS16" s="753"/>
      <c r="AT16" s="753"/>
      <c r="AU16" s="753"/>
      <c r="AV16" s="753"/>
      <c r="AW16" s="753"/>
      <c r="AX16" s="753"/>
      <c r="AY16" s="753"/>
      <c r="AZ16" s="753"/>
      <c r="BA16" s="753"/>
      <c r="BB16" s="753"/>
      <c r="BC16" s="753"/>
      <c r="BD16" s="753"/>
      <c r="BE16" s="753"/>
      <c r="BF16" s="753"/>
      <c r="BG16" s="753"/>
      <c r="BH16" s="753"/>
      <c r="BI16" s="753"/>
      <c r="BJ16" s="753"/>
      <c r="BK16" s="753"/>
      <c r="BL16" s="753"/>
      <c r="BM16" s="753"/>
      <c r="BN16" s="753"/>
      <c r="BO16" s="753"/>
      <c r="BP16" s="753"/>
      <c r="BQ16" s="753"/>
      <c r="BR16" s="753"/>
      <c r="BS16" s="753"/>
      <c r="BT16" s="753"/>
      <c r="BU16" s="753"/>
      <c r="BV16" s="753"/>
      <c r="BW16" s="753"/>
      <c r="BX16" s="753"/>
      <c r="BY16" s="753"/>
      <c r="BZ16" s="753"/>
      <c r="CA16" s="753"/>
      <c r="CB16" s="753"/>
      <c r="CC16" s="753"/>
      <c r="CD16" s="753"/>
      <c r="CE16" s="753"/>
      <c r="CF16" s="753"/>
      <c r="CG16" s="753"/>
      <c r="CH16" s="753"/>
      <c r="CI16" s="753"/>
      <c r="CJ16" s="753"/>
      <c r="CK16" s="753"/>
      <c r="CL16" s="753"/>
      <c r="CM16" s="753"/>
      <c r="CN16" s="753"/>
      <c r="CO16" s="753"/>
      <c r="CP16" s="753"/>
      <c r="CQ16" s="753"/>
      <c r="CR16" s="753"/>
      <c r="CS16" s="753"/>
      <c r="CT16" s="753"/>
      <c r="CU16" s="753"/>
      <c r="CV16" s="753"/>
      <c r="CW16" s="753"/>
      <c r="CX16" s="753"/>
      <c r="CY16" s="753"/>
      <c r="CZ16" s="753"/>
      <c r="DA16" s="753"/>
      <c r="DB16" s="753"/>
      <c r="DC16" s="753"/>
      <c r="DD16" s="753"/>
      <c r="DE16" s="753"/>
      <c r="DF16" s="753"/>
      <c r="DG16" s="753"/>
      <c r="DH16" s="753"/>
      <c r="DI16" s="753"/>
      <c r="DJ16" s="753"/>
      <c r="DK16" s="753"/>
      <c r="DL16" s="753"/>
      <c r="DM16" s="753"/>
      <c r="DN16" s="753"/>
      <c r="DO16" s="753"/>
      <c r="DP16" s="753"/>
    </row>
    <row r="17" spans="1:120" s="43" customFormat="1" ht="14.25" customHeight="1" x14ac:dyDescent="0.25">
      <c r="A17"/>
      <c r="B17" s="42"/>
      <c r="C17" s="42"/>
      <c r="D17" s="42"/>
      <c r="E17" s="42"/>
      <c r="F17" s="42"/>
      <c r="G17" s="42"/>
      <c r="H17" s="150"/>
      <c r="I17" s="150"/>
      <c r="J17" s="150"/>
      <c r="K17" s="150"/>
      <c r="M17" s="150"/>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753"/>
      <c r="AT17" s="753"/>
      <c r="AU17" s="753"/>
      <c r="AV17" s="753"/>
      <c r="AW17" s="753"/>
      <c r="AX17" s="753"/>
      <c r="AY17" s="753"/>
      <c r="AZ17" s="753"/>
      <c r="BA17" s="753"/>
      <c r="BB17" s="753"/>
      <c r="BC17" s="753"/>
      <c r="BD17" s="753"/>
      <c r="BE17" s="753"/>
      <c r="BF17" s="753"/>
      <c r="BG17" s="753"/>
      <c r="BH17" s="753"/>
      <c r="BI17" s="753"/>
      <c r="BJ17" s="753"/>
      <c r="BK17" s="753"/>
      <c r="BL17" s="753"/>
      <c r="BM17" s="753"/>
      <c r="BN17" s="753"/>
      <c r="BO17" s="753"/>
      <c r="BP17" s="753"/>
      <c r="BQ17" s="753"/>
      <c r="BR17" s="753"/>
      <c r="BS17" s="753"/>
      <c r="BT17" s="753"/>
      <c r="BU17" s="753"/>
      <c r="BV17" s="753"/>
      <c r="BW17" s="753"/>
      <c r="BX17" s="753"/>
      <c r="BY17" s="753"/>
      <c r="BZ17" s="753"/>
      <c r="CA17" s="753"/>
      <c r="CB17" s="753"/>
      <c r="CC17" s="753"/>
      <c r="CD17" s="753"/>
      <c r="CE17" s="753"/>
      <c r="CF17" s="753"/>
      <c r="CG17" s="753"/>
      <c r="CH17" s="753"/>
      <c r="CI17" s="753"/>
      <c r="CJ17" s="753"/>
      <c r="CK17" s="753"/>
      <c r="CL17" s="753"/>
      <c r="CM17" s="753"/>
      <c r="CN17" s="753"/>
      <c r="CO17" s="753"/>
      <c r="CP17" s="753"/>
      <c r="CQ17" s="753"/>
      <c r="CR17" s="753"/>
      <c r="CS17" s="753"/>
      <c r="CT17" s="753"/>
      <c r="CU17" s="753"/>
      <c r="CV17" s="753"/>
      <c r="CW17" s="753"/>
      <c r="CX17" s="753"/>
      <c r="CY17" s="753"/>
      <c r="CZ17" s="753"/>
      <c r="DA17" s="753"/>
      <c r="DB17" s="753"/>
      <c r="DC17" s="753"/>
      <c r="DD17" s="753"/>
      <c r="DE17" s="753"/>
      <c r="DF17" s="753"/>
      <c r="DG17" s="753"/>
      <c r="DH17" s="753"/>
      <c r="DI17" s="753"/>
      <c r="DJ17" s="753"/>
      <c r="DK17" s="753"/>
      <c r="DL17" s="753"/>
      <c r="DM17" s="753"/>
      <c r="DN17" s="753"/>
      <c r="DO17" s="753"/>
      <c r="DP17" s="753"/>
    </row>
    <row r="18" spans="1:120" s="43" customFormat="1" ht="20.25" x14ac:dyDescent="0.25">
      <c r="A18"/>
      <c r="B18" s="42"/>
      <c r="C18" s="42"/>
      <c r="D18" s="42" t="s">
        <v>594</v>
      </c>
      <c r="E18" s="42"/>
      <c r="F18" s="42"/>
      <c r="G18" s="42"/>
      <c r="H18" s="150"/>
      <c r="I18" s="150"/>
      <c r="J18" s="150"/>
      <c r="K18" s="150"/>
      <c r="M18" s="150"/>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c r="AP18" s="753"/>
      <c r="AQ18" s="753"/>
      <c r="AR18" s="753"/>
      <c r="AS18" s="753"/>
      <c r="AT18" s="753"/>
      <c r="AU18" s="753"/>
      <c r="AV18" s="753"/>
      <c r="AW18" s="753"/>
      <c r="AX18" s="753"/>
      <c r="AY18" s="753"/>
      <c r="AZ18" s="753"/>
      <c r="BA18" s="753"/>
      <c r="BB18" s="753"/>
      <c r="BC18" s="753"/>
      <c r="BD18" s="753"/>
      <c r="BE18" s="753"/>
      <c r="BF18" s="753"/>
      <c r="BG18" s="753"/>
      <c r="BH18" s="753"/>
      <c r="BI18" s="753"/>
      <c r="BJ18" s="753"/>
      <c r="BK18" s="753"/>
      <c r="BL18" s="753"/>
      <c r="BM18" s="753"/>
      <c r="BN18" s="753"/>
      <c r="BO18" s="753"/>
      <c r="BP18" s="753"/>
      <c r="BQ18" s="753"/>
      <c r="BR18" s="753"/>
      <c r="BS18" s="753"/>
      <c r="BT18" s="753"/>
      <c r="BU18" s="753"/>
      <c r="BV18" s="753"/>
      <c r="BW18" s="753"/>
      <c r="BX18" s="753"/>
      <c r="BY18" s="753"/>
      <c r="BZ18" s="753"/>
      <c r="CA18" s="753"/>
      <c r="CB18" s="753"/>
      <c r="CC18" s="753"/>
      <c r="CD18" s="753"/>
      <c r="CE18" s="753"/>
      <c r="CF18" s="753"/>
      <c r="CG18" s="753"/>
      <c r="CH18" s="753"/>
      <c r="CI18" s="753"/>
      <c r="CJ18" s="753"/>
      <c r="CK18" s="753"/>
      <c r="CL18" s="753"/>
      <c r="CM18" s="753"/>
      <c r="CN18" s="753"/>
      <c r="CO18" s="753"/>
      <c r="CP18" s="753"/>
      <c r="CQ18" s="753"/>
      <c r="CR18" s="753"/>
      <c r="CS18" s="753"/>
      <c r="CT18" s="753"/>
      <c r="CU18" s="753"/>
      <c r="CV18" s="753"/>
      <c r="CW18" s="753"/>
      <c r="CX18" s="753"/>
      <c r="CY18" s="753"/>
      <c r="CZ18" s="753"/>
      <c r="DA18" s="753"/>
      <c r="DB18" s="753"/>
      <c r="DC18" s="753"/>
      <c r="DD18" s="753"/>
      <c r="DE18" s="753"/>
      <c r="DF18" s="753"/>
      <c r="DG18" s="753"/>
      <c r="DH18" s="753"/>
      <c r="DI18" s="753"/>
      <c r="DJ18" s="753"/>
      <c r="DK18" s="753"/>
      <c r="DL18" s="753"/>
      <c r="DM18" s="753"/>
      <c r="DN18" s="753"/>
      <c r="DO18" s="753"/>
      <c r="DP18" s="753"/>
    </row>
    <row r="19" spans="1:120" s="43" customFormat="1" ht="20.25" x14ac:dyDescent="0.25">
      <c r="A19"/>
      <c r="B19" s="46"/>
      <c r="C19" s="46"/>
      <c r="D19" s="46"/>
      <c r="E19" s="46" t="s">
        <v>595</v>
      </c>
      <c r="F19" s="46"/>
      <c r="G19" s="46"/>
      <c r="H19" s="185"/>
      <c r="I19" s="185">
        <f>'August''25 AR Aging'!H53</f>
        <v>283492.21999999997</v>
      </c>
      <c r="J19" s="185"/>
      <c r="K19" s="185">
        <v>325289.71000000002</v>
      </c>
      <c r="L19" s="161"/>
      <c r="M19" s="185">
        <v>355947.69</v>
      </c>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3"/>
      <c r="AL19" s="753"/>
      <c r="AM19" s="753"/>
      <c r="AN19" s="753"/>
      <c r="AO19" s="753"/>
      <c r="AP19" s="753"/>
      <c r="AQ19" s="753"/>
      <c r="AR19" s="753"/>
      <c r="AS19" s="753"/>
      <c r="AT19" s="753"/>
      <c r="AU19" s="753"/>
      <c r="AV19" s="753"/>
      <c r="AW19" s="753"/>
      <c r="AX19" s="753"/>
      <c r="AY19" s="753"/>
      <c r="AZ19" s="753"/>
      <c r="BA19" s="753"/>
      <c r="BB19" s="753"/>
      <c r="BC19" s="753"/>
      <c r="BD19" s="753"/>
      <c r="BE19" s="753"/>
      <c r="BF19" s="753"/>
      <c r="BG19" s="753"/>
      <c r="BH19" s="753"/>
      <c r="BI19" s="753"/>
      <c r="BJ19" s="753"/>
      <c r="BK19" s="753"/>
      <c r="BL19" s="753"/>
      <c r="BM19" s="753"/>
      <c r="BN19" s="753"/>
      <c r="BO19" s="753"/>
      <c r="BP19" s="753"/>
      <c r="BQ19" s="753"/>
      <c r="BR19" s="753"/>
      <c r="BS19" s="753"/>
      <c r="BT19" s="753"/>
      <c r="BU19" s="753"/>
      <c r="BV19" s="753"/>
      <c r="BW19" s="753"/>
      <c r="BX19" s="753"/>
      <c r="BY19" s="753"/>
      <c r="BZ19" s="753"/>
      <c r="CA19" s="753"/>
      <c r="CB19" s="753"/>
      <c r="CC19" s="753"/>
      <c r="CD19" s="753"/>
      <c r="CE19" s="753"/>
      <c r="CF19" s="753"/>
      <c r="CG19" s="753"/>
      <c r="CH19" s="753"/>
      <c r="CI19" s="753"/>
      <c r="CJ19" s="753"/>
      <c r="CK19" s="753"/>
      <c r="CL19" s="753"/>
      <c r="CM19" s="753"/>
      <c r="CN19" s="753"/>
      <c r="CO19" s="753"/>
      <c r="CP19" s="753"/>
      <c r="CQ19" s="753"/>
      <c r="CR19" s="753"/>
      <c r="CS19" s="753"/>
      <c r="CT19" s="753"/>
      <c r="CU19" s="753"/>
      <c r="CV19" s="753"/>
      <c r="CW19" s="753"/>
      <c r="CX19" s="753"/>
      <c r="CY19" s="753"/>
      <c r="CZ19" s="753"/>
      <c r="DA19" s="753"/>
      <c r="DB19" s="753"/>
      <c r="DC19" s="753"/>
      <c r="DD19" s="753"/>
      <c r="DE19" s="753"/>
      <c r="DF19" s="753"/>
      <c r="DG19" s="753"/>
      <c r="DH19" s="753"/>
      <c r="DI19" s="753"/>
      <c r="DJ19" s="753"/>
      <c r="DK19" s="753"/>
      <c r="DL19" s="753"/>
      <c r="DM19" s="753"/>
      <c r="DN19" s="753"/>
      <c r="DO19" s="753"/>
      <c r="DP19" s="753"/>
    </row>
    <row r="20" spans="1:120" s="43" customFormat="1" ht="20.25" x14ac:dyDescent="0.25">
      <c r="A20"/>
      <c r="B20" s="46"/>
      <c r="C20" s="46"/>
      <c r="D20" s="46"/>
      <c r="E20" s="46" t="s">
        <v>596</v>
      </c>
      <c r="F20" s="46"/>
      <c r="G20" s="46"/>
      <c r="H20" s="185"/>
      <c r="I20" s="150">
        <v>0</v>
      </c>
      <c r="J20" s="150"/>
      <c r="K20" s="150">
        <v>0</v>
      </c>
      <c r="L20" s="161"/>
      <c r="M20" s="150"/>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753"/>
      <c r="AX20" s="753"/>
      <c r="AY20" s="753"/>
      <c r="AZ20" s="753"/>
      <c r="BA20" s="753"/>
      <c r="BB20" s="753"/>
      <c r="BC20" s="753"/>
      <c r="BD20" s="753"/>
      <c r="BE20" s="753"/>
      <c r="BF20" s="753"/>
      <c r="BG20" s="753"/>
      <c r="BH20" s="753"/>
      <c r="BI20" s="753"/>
      <c r="BJ20" s="753"/>
      <c r="BK20" s="753"/>
      <c r="BL20" s="753"/>
      <c r="BM20" s="753"/>
      <c r="BN20" s="753"/>
      <c r="BO20" s="753"/>
      <c r="BP20" s="753"/>
      <c r="BQ20" s="753"/>
      <c r="BR20" s="753"/>
      <c r="BS20" s="753"/>
      <c r="BT20" s="753"/>
      <c r="BU20" s="753"/>
      <c r="BV20" s="753"/>
      <c r="BW20" s="753"/>
      <c r="BX20" s="753"/>
      <c r="BY20" s="753"/>
      <c r="BZ20" s="753"/>
      <c r="CA20" s="753"/>
      <c r="CB20" s="753"/>
      <c r="CC20" s="753"/>
      <c r="CD20" s="753"/>
      <c r="CE20" s="753"/>
      <c r="CF20" s="753"/>
      <c r="CG20" s="753"/>
      <c r="CH20" s="753"/>
      <c r="CI20" s="753"/>
      <c r="CJ20" s="753"/>
      <c r="CK20" s="753"/>
      <c r="CL20" s="753"/>
      <c r="CM20" s="753"/>
      <c r="CN20" s="753"/>
      <c r="CO20" s="753"/>
      <c r="CP20" s="753"/>
      <c r="CQ20" s="753"/>
      <c r="CR20" s="753"/>
      <c r="CS20" s="753"/>
      <c r="CT20" s="753"/>
      <c r="CU20" s="753"/>
      <c r="CV20" s="753"/>
      <c r="CW20" s="753"/>
      <c r="CX20" s="753"/>
      <c r="CY20" s="753"/>
      <c r="CZ20" s="753"/>
      <c r="DA20" s="753"/>
      <c r="DB20" s="753"/>
      <c r="DC20" s="753"/>
      <c r="DD20" s="753"/>
      <c r="DE20" s="753"/>
      <c r="DF20" s="753"/>
      <c r="DG20" s="753"/>
      <c r="DH20" s="753"/>
      <c r="DI20" s="753"/>
      <c r="DJ20" s="753"/>
      <c r="DK20" s="753"/>
      <c r="DL20" s="753"/>
      <c r="DM20" s="753"/>
      <c r="DN20" s="753"/>
      <c r="DO20" s="753"/>
      <c r="DP20" s="753"/>
    </row>
    <row r="21" spans="1:120" s="43" customFormat="1" ht="20.25" x14ac:dyDescent="0.25">
      <c r="A21"/>
      <c r="B21" s="46"/>
      <c r="C21" s="46"/>
      <c r="D21" s="46"/>
      <c r="E21" s="46" t="s">
        <v>278</v>
      </c>
      <c r="F21" s="46"/>
      <c r="G21" s="46"/>
      <c r="H21" s="150"/>
      <c r="I21" s="150">
        <v>541378.89</v>
      </c>
      <c r="J21" s="150"/>
      <c r="K21" s="150">
        <v>493219.34</v>
      </c>
      <c r="L21" s="161"/>
      <c r="M21" s="150">
        <v>389315.86</v>
      </c>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c r="BN21" s="753"/>
      <c r="BO21" s="753"/>
      <c r="BP21" s="753"/>
      <c r="BQ21" s="753"/>
      <c r="BR21" s="753"/>
      <c r="BS21" s="753"/>
      <c r="BT21" s="753"/>
      <c r="BU21" s="753"/>
      <c r="BV21" s="753"/>
      <c r="BW21" s="753"/>
      <c r="BX21" s="753"/>
      <c r="BY21" s="753"/>
      <c r="BZ21" s="753"/>
      <c r="CA21" s="753"/>
      <c r="CB21" s="753"/>
      <c r="CC21" s="753"/>
      <c r="CD21" s="753"/>
      <c r="CE21" s="753"/>
      <c r="CF21" s="753"/>
      <c r="CG21" s="753"/>
      <c r="CH21" s="753"/>
      <c r="CI21" s="753"/>
      <c r="CJ21" s="753"/>
      <c r="CK21" s="753"/>
      <c r="CL21" s="753"/>
      <c r="CM21" s="753"/>
      <c r="CN21" s="753"/>
      <c r="CO21" s="753"/>
      <c r="CP21" s="753"/>
      <c r="CQ21" s="753"/>
      <c r="CR21" s="753"/>
      <c r="CS21" s="753"/>
      <c r="CT21" s="753"/>
      <c r="CU21" s="753"/>
      <c r="CV21" s="753"/>
      <c r="CW21" s="753"/>
      <c r="CX21" s="753"/>
      <c r="CY21" s="753"/>
      <c r="CZ21" s="753"/>
      <c r="DA21" s="753"/>
      <c r="DB21" s="753"/>
      <c r="DC21" s="753"/>
      <c r="DD21" s="753"/>
      <c r="DE21" s="753"/>
      <c r="DF21" s="753"/>
      <c r="DG21" s="753"/>
      <c r="DH21" s="753"/>
      <c r="DI21" s="753"/>
      <c r="DJ21" s="753"/>
      <c r="DK21" s="753"/>
      <c r="DL21" s="753"/>
      <c r="DM21" s="753"/>
      <c r="DN21" s="753"/>
      <c r="DO21" s="753"/>
      <c r="DP21" s="753"/>
    </row>
    <row r="22" spans="1:120" s="43" customFormat="1" ht="20.25" x14ac:dyDescent="0.25">
      <c r="A22"/>
      <c r="B22" s="46"/>
      <c r="C22" s="46"/>
      <c r="D22" s="46"/>
      <c r="E22" s="46" t="s">
        <v>597</v>
      </c>
      <c r="F22" s="46"/>
      <c r="G22" s="46"/>
      <c r="H22" s="150"/>
      <c r="I22" s="150">
        <v>13248.83</v>
      </c>
      <c r="J22" s="150"/>
      <c r="K22" s="150">
        <v>8604.41</v>
      </c>
      <c r="L22" s="161"/>
      <c r="M22" s="152">
        <v>5646.41</v>
      </c>
      <c r="N22" s="753"/>
      <c r="O22" s="753"/>
      <c r="P22" s="753"/>
      <c r="Q22" s="753"/>
      <c r="R22" s="753"/>
      <c r="S22" s="753"/>
      <c r="T22" s="753"/>
      <c r="U22" s="753"/>
      <c r="V22" s="753"/>
      <c r="W22" s="753"/>
      <c r="X22" s="753"/>
      <c r="Y22" s="753"/>
      <c r="Z22" s="753"/>
      <c r="AA22" s="753"/>
      <c r="AB22" s="753"/>
      <c r="AC22" s="753"/>
      <c r="AD22" s="753"/>
      <c r="AE22" s="753"/>
      <c r="AF22" s="753"/>
      <c r="AG22" s="753"/>
      <c r="AH22" s="753"/>
      <c r="AI22" s="753"/>
      <c r="AJ22" s="753"/>
      <c r="AK22" s="753"/>
      <c r="AL22" s="753"/>
      <c r="AM22" s="753"/>
      <c r="AN22" s="753"/>
      <c r="AO22" s="753"/>
      <c r="AP22" s="753"/>
      <c r="AQ22" s="753"/>
      <c r="AR22" s="753"/>
      <c r="AS22" s="753"/>
      <c r="AT22" s="753"/>
      <c r="AU22" s="753"/>
      <c r="AV22" s="753"/>
      <c r="AW22" s="753"/>
      <c r="AX22" s="753"/>
      <c r="AY22" s="753"/>
      <c r="AZ22" s="753"/>
      <c r="BA22" s="753"/>
      <c r="BB22" s="753"/>
      <c r="BC22" s="753"/>
      <c r="BD22" s="753"/>
      <c r="BE22" s="753"/>
      <c r="BF22" s="753"/>
      <c r="BG22" s="753"/>
      <c r="BH22" s="753"/>
      <c r="BI22" s="753"/>
      <c r="BJ22" s="753"/>
      <c r="BK22" s="753"/>
      <c r="BL22" s="753"/>
      <c r="BM22" s="753"/>
      <c r="BN22" s="753"/>
      <c r="BO22" s="753"/>
      <c r="BP22" s="753"/>
      <c r="BQ22" s="753"/>
      <c r="BR22" s="753"/>
      <c r="BS22" s="753"/>
      <c r="BT22" s="753"/>
      <c r="BU22" s="753"/>
      <c r="BV22" s="753"/>
      <c r="BW22" s="753"/>
      <c r="BX22" s="753"/>
      <c r="BY22" s="753"/>
      <c r="BZ22" s="753"/>
      <c r="CA22" s="753"/>
      <c r="CB22" s="753"/>
      <c r="CC22" s="753"/>
      <c r="CD22" s="753"/>
      <c r="CE22" s="753"/>
      <c r="CF22" s="753"/>
      <c r="CG22" s="753"/>
      <c r="CH22" s="753"/>
      <c r="CI22" s="753"/>
      <c r="CJ22" s="753"/>
      <c r="CK22" s="753"/>
      <c r="CL22" s="753"/>
      <c r="CM22" s="753"/>
      <c r="CN22" s="753"/>
      <c r="CO22" s="753"/>
      <c r="CP22" s="753"/>
      <c r="CQ22" s="753"/>
      <c r="CR22" s="753"/>
      <c r="CS22" s="753"/>
      <c r="CT22" s="753"/>
      <c r="CU22" s="753"/>
      <c r="CV22" s="753"/>
      <c r="CW22" s="753"/>
      <c r="CX22" s="753"/>
      <c r="CY22" s="753"/>
      <c r="CZ22" s="753"/>
      <c r="DA22" s="753"/>
      <c r="DB22" s="753"/>
      <c r="DC22" s="753"/>
      <c r="DD22" s="753"/>
      <c r="DE22" s="753"/>
      <c r="DF22" s="753"/>
      <c r="DG22" s="753"/>
      <c r="DH22" s="753"/>
      <c r="DI22" s="753"/>
      <c r="DJ22" s="753"/>
      <c r="DK22" s="753"/>
      <c r="DL22" s="753"/>
      <c r="DM22" s="753"/>
      <c r="DN22" s="753"/>
      <c r="DO22" s="753"/>
      <c r="DP22" s="753"/>
    </row>
    <row r="23" spans="1:120" s="43" customFormat="1" ht="20.25" x14ac:dyDescent="0.25">
      <c r="A23"/>
      <c r="B23" s="46"/>
      <c r="C23" s="46"/>
      <c r="D23" s="46"/>
      <c r="E23" s="46" t="s">
        <v>598</v>
      </c>
      <c r="F23" s="46"/>
      <c r="G23" s="46"/>
      <c r="H23" s="150"/>
      <c r="I23" s="150">
        <f>12206.95+5395.53</f>
        <v>17602.48</v>
      </c>
      <c r="J23" s="150"/>
      <c r="K23" s="150"/>
      <c r="L23" s="161"/>
      <c r="M23" s="150"/>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3"/>
      <c r="AL23" s="753"/>
      <c r="AM23" s="753"/>
      <c r="AN23" s="753"/>
      <c r="AO23" s="753"/>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c r="BQ23" s="753"/>
      <c r="BR23" s="753"/>
      <c r="BS23" s="753"/>
      <c r="BT23" s="753"/>
      <c r="BU23" s="753"/>
      <c r="BV23" s="753"/>
      <c r="BW23" s="753"/>
      <c r="BX23" s="753"/>
      <c r="BY23" s="753"/>
      <c r="BZ23" s="753"/>
      <c r="CA23" s="753"/>
      <c r="CB23" s="753"/>
      <c r="CC23" s="753"/>
      <c r="CD23" s="753"/>
      <c r="CE23" s="753"/>
      <c r="CF23" s="753"/>
      <c r="CG23" s="753"/>
      <c r="CH23" s="753"/>
      <c r="CI23" s="753"/>
      <c r="CJ23" s="753"/>
      <c r="CK23" s="753"/>
      <c r="CL23" s="753"/>
      <c r="CM23" s="753"/>
      <c r="CN23" s="753"/>
      <c r="CO23" s="753"/>
      <c r="CP23" s="753"/>
      <c r="CQ23" s="753"/>
      <c r="CR23" s="753"/>
      <c r="CS23" s="753"/>
      <c r="CT23" s="753"/>
      <c r="CU23" s="753"/>
      <c r="CV23" s="753"/>
      <c r="CW23" s="753"/>
      <c r="CX23" s="753"/>
      <c r="CY23" s="753"/>
      <c r="CZ23" s="753"/>
      <c r="DA23" s="753"/>
      <c r="DB23" s="753"/>
      <c r="DC23" s="753"/>
      <c r="DD23" s="753"/>
      <c r="DE23" s="753"/>
      <c r="DF23" s="753"/>
      <c r="DG23" s="753"/>
      <c r="DH23" s="753"/>
      <c r="DI23" s="753"/>
      <c r="DJ23" s="753"/>
      <c r="DK23" s="753"/>
      <c r="DL23" s="753"/>
      <c r="DM23" s="753"/>
      <c r="DN23" s="753"/>
      <c r="DO23" s="753"/>
      <c r="DP23" s="753"/>
    </row>
    <row r="24" spans="1:120" s="43" customFormat="1" ht="20.25" x14ac:dyDescent="0.25">
      <c r="A24"/>
      <c r="B24" s="42"/>
      <c r="C24" s="42"/>
      <c r="D24" s="42" t="s">
        <v>599</v>
      </c>
      <c r="E24" s="42"/>
      <c r="F24" s="42"/>
      <c r="G24" s="42"/>
      <c r="H24" s="153"/>
      <c r="I24" s="153">
        <f>SUM(I19:I23)</f>
        <v>855722.41999999993</v>
      </c>
      <c r="J24" s="153"/>
      <c r="K24" s="153">
        <f>SUM(K19:K22)</f>
        <v>827113.46000000008</v>
      </c>
      <c r="L24" s="161"/>
      <c r="M24" s="153">
        <f>SUM(M19:M22)</f>
        <v>750909.96000000008</v>
      </c>
      <c r="N24" s="753"/>
      <c r="O24" s="753"/>
      <c r="P24" s="753"/>
      <c r="Q24" s="753"/>
      <c r="R24" s="753"/>
      <c r="S24" s="753"/>
      <c r="T24" s="753"/>
      <c r="U24" s="753"/>
      <c r="V24" s="753"/>
      <c r="W24" s="753"/>
      <c r="X24" s="753"/>
      <c r="Y24" s="753"/>
      <c r="Z24" s="753"/>
      <c r="AA24" s="753"/>
      <c r="AB24" s="753"/>
      <c r="AC24" s="753"/>
      <c r="AD24" s="753"/>
      <c r="AE24" s="753"/>
      <c r="AF24" s="753"/>
      <c r="AG24" s="753"/>
      <c r="AH24" s="753"/>
      <c r="AI24" s="753"/>
      <c r="AJ24" s="753"/>
      <c r="AK24" s="753"/>
      <c r="AL24" s="753"/>
      <c r="AM24" s="753"/>
      <c r="AN24" s="753"/>
      <c r="AO24" s="753"/>
      <c r="AP24" s="753"/>
      <c r="AQ24" s="753"/>
      <c r="AR24" s="753"/>
      <c r="AS24" s="753"/>
      <c r="AT24" s="753"/>
      <c r="AU24" s="753"/>
      <c r="AV24" s="753"/>
      <c r="AW24" s="753"/>
      <c r="AX24" s="753"/>
      <c r="AY24" s="753"/>
      <c r="AZ24" s="753"/>
      <c r="BA24" s="753"/>
      <c r="BB24" s="753"/>
      <c r="BC24" s="753"/>
      <c r="BD24" s="753"/>
      <c r="BE24" s="753"/>
      <c r="BF24" s="753"/>
      <c r="BG24" s="753"/>
      <c r="BH24" s="753"/>
      <c r="BI24" s="753"/>
      <c r="BJ24" s="753"/>
      <c r="BK24" s="753"/>
      <c r="BL24" s="753"/>
      <c r="BM24" s="753"/>
      <c r="BN24" s="753"/>
      <c r="BO24" s="753"/>
      <c r="BP24" s="753"/>
      <c r="BQ24" s="753"/>
      <c r="BR24" s="753"/>
      <c r="BS24" s="753"/>
      <c r="BT24" s="753"/>
      <c r="BU24" s="753"/>
      <c r="BV24" s="753"/>
      <c r="BW24" s="753"/>
      <c r="BX24" s="753"/>
      <c r="BY24" s="753"/>
      <c r="BZ24" s="753"/>
      <c r="CA24" s="753"/>
      <c r="CB24" s="753"/>
      <c r="CC24" s="753"/>
      <c r="CD24" s="753"/>
      <c r="CE24" s="753"/>
      <c r="CF24" s="753"/>
      <c r="CG24" s="753"/>
      <c r="CH24" s="753"/>
      <c r="CI24" s="753"/>
      <c r="CJ24" s="753"/>
      <c r="CK24" s="753"/>
      <c r="CL24" s="753"/>
      <c r="CM24" s="753"/>
      <c r="CN24" s="753"/>
      <c r="CO24" s="753"/>
      <c r="CP24" s="753"/>
      <c r="CQ24" s="753"/>
      <c r="CR24" s="753"/>
      <c r="CS24" s="753"/>
      <c r="CT24" s="753"/>
      <c r="CU24" s="753"/>
      <c r="CV24" s="753"/>
      <c r="CW24" s="753"/>
      <c r="CX24" s="753"/>
      <c r="CY24" s="753"/>
      <c r="CZ24" s="753"/>
      <c r="DA24" s="753"/>
      <c r="DB24" s="753"/>
      <c r="DC24" s="753"/>
      <c r="DD24" s="753"/>
      <c r="DE24" s="753"/>
      <c r="DF24" s="753"/>
      <c r="DG24" s="753"/>
      <c r="DH24" s="753"/>
      <c r="DI24" s="753"/>
      <c r="DJ24" s="753"/>
      <c r="DK24" s="753"/>
      <c r="DL24" s="753"/>
      <c r="DM24" s="753"/>
      <c r="DN24" s="753"/>
      <c r="DO24" s="753"/>
      <c r="DP24" s="753"/>
    </row>
    <row r="25" spans="1:120" s="43" customFormat="1" ht="20.25" x14ac:dyDescent="0.25">
      <c r="A25"/>
      <c r="B25" s="42"/>
      <c r="C25" s="42"/>
      <c r="D25" s="42"/>
      <c r="E25" s="42"/>
      <c r="F25" s="42"/>
      <c r="G25" s="42"/>
      <c r="H25" s="150"/>
      <c r="I25" s="150"/>
      <c r="J25" s="150"/>
      <c r="K25" s="150"/>
      <c r="M25" s="150"/>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3"/>
      <c r="AL25" s="753"/>
      <c r="AM25" s="753"/>
      <c r="AN25" s="753"/>
      <c r="AO25" s="753"/>
      <c r="AP25" s="753"/>
      <c r="AQ25" s="753"/>
      <c r="AR25" s="753"/>
      <c r="AS25" s="753"/>
      <c r="AT25" s="753"/>
      <c r="AU25" s="753"/>
      <c r="AV25" s="753"/>
      <c r="AW25" s="753"/>
      <c r="AX25" s="753"/>
      <c r="AY25" s="753"/>
      <c r="AZ25" s="753"/>
      <c r="BA25" s="753"/>
      <c r="BB25" s="753"/>
      <c r="BC25" s="753"/>
      <c r="BD25" s="753"/>
      <c r="BE25" s="753"/>
      <c r="BF25" s="753"/>
      <c r="BG25" s="753"/>
      <c r="BH25" s="753"/>
      <c r="BI25" s="753"/>
      <c r="BJ25" s="753"/>
      <c r="BK25" s="753"/>
      <c r="BL25" s="753"/>
      <c r="BM25" s="753"/>
      <c r="BN25" s="753"/>
      <c r="BO25" s="753"/>
      <c r="BP25" s="753"/>
      <c r="BQ25" s="753"/>
      <c r="BR25" s="753"/>
      <c r="BS25" s="753"/>
      <c r="BT25" s="753"/>
      <c r="BU25" s="753"/>
      <c r="BV25" s="753"/>
      <c r="BW25" s="753"/>
      <c r="BX25" s="753"/>
      <c r="BY25" s="753"/>
      <c r="BZ25" s="753"/>
      <c r="CA25" s="753"/>
      <c r="CB25" s="753"/>
      <c r="CC25" s="753"/>
      <c r="CD25" s="753"/>
      <c r="CE25" s="753"/>
      <c r="CF25" s="753"/>
      <c r="CG25" s="753"/>
      <c r="CH25" s="753"/>
      <c r="CI25" s="753"/>
      <c r="CJ25" s="753"/>
      <c r="CK25" s="753"/>
      <c r="CL25" s="753"/>
      <c r="CM25" s="753"/>
      <c r="CN25" s="753"/>
      <c r="CO25" s="753"/>
      <c r="CP25" s="753"/>
      <c r="CQ25" s="753"/>
      <c r="CR25" s="753"/>
      <c r="CS25" s="753"/>
      <c r="CT25" s="753"/>
      <c r="CU25" s="753"/>
      <c r="CV25" s="753"/>
      <c r="CW25" s="753"/>
      <c r="CX25" s="753"/>
      <c r="CY25" s="753"/>
      <c r="CZ25" s="753"/>
      <c r="DA25" s="753"/>
      <c r="DB25" s="753"/>
      <c r="DC25" s="753"/>
      <c r="DD25" s="753"/>
      <c r="DE25" s="753"/>
      <c r="DF25" s="753"/>
      <c r="DG25" s="753"/>
      <c r="DH25" s="753"/>
      <c r="DI25" s="753"/>
      <c r="DJ25" s="753"/>
      <c r="DK25" s="753"/>
      <c r="DL25" s="753"/>
      <c r="DM25" s="753"/>
      <c r="DN25" s="753"/>
      <c r="DO25" s="753"/>
      <c r="DP25" s="753"/>
    </row>
    <row r="26" spans="1:120" s="43" customFormat="1" ht="20.25" x14ac:dyDescent="0.25">
      <c r="A26"/>
      <c r="B26" s="42"/>
      <c r="C26" s="48" t="s">
        <v>600</v>
      </c>
      <c r="D26" s="48"/>
      <c r="E26" s="48"/>
      <c r="F26" s="48"/>
      <c r="G26" s="48"/>
      <c r="H26" s="153"/>
      <c r="I26" s="468">
        <f>I16+I24</f>
        <v>1310796.52</v>
      </c>
      <c r="J26" s="153"/>
      <c r="K26" s="468">
        <f>K16+K24</f>
        <v>1258782.4700000002</v>
      </c>
      <c r="M26" s="468">
        <f>M16+M24</f>
        <v>1154710.8900000001</v>
      </c>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3"/>
      <c r="AL26" s="753"/>
      <c r="AM26" s="753"/>
      <c r="AN26" s="753"/>
      <c r="AO26" s="753"/>
      <c r="AP26" s="753"/>
      <c r="AQ26" s="753"/>
      <c r="AR26" s="753"/>
      <c r="AS26" s="753"/>
      <c r="AT26" s="753"/>
      <c r="AU26" s="753"/>
      <c r="AV26" s="753"/>
      <c r="AW26" s="753"/>
      <c r="AX26" s="753"/>
      <c r="AY26" s="753"/>
      <c r="AZ26" s="753"/>
      <c r="BA26" s="753"/>
      <c r="BB26" s="753"/>
      <c r="BC26" s="753"/>
      <c r="BD26" s="753"/>
      <c r="BE26" s="753"/>
      <c r="BF26" s="753"/>
      <c r="BG26" s="753"/>
      <c r="BH26" s="753"/>
      <c r="BI26" s="753"/>
      <c r="BJ26" s="753"/>
      <c r="BK26" s="753"/>
      <c r="BL26" s="753"/>
      <c r="BM26" s="753"/>
      <c r="BN26" s="753"/>
      <c r="BO26" s="753"/>
      <c r="BP26" s="753"/>
      <c r="BQ26" s="753"/>
      <c r="BR26" s="753"/>
      <c r="BS26" s="753"/>
      <c r="BT26" s="753"/>
      <c r="BU26" s="753"/>
      <c r="BV26" s="753"/>
      <c r="BW26" s="753"/>
      <c r="BX26" s="753"/>
      <c r="BY26" s="753"/>
      <c r="BZ26" s="753"/>
      <c r="CA26" s="753"/>
      <c r="CB26" s="753"/>
      <c r="CC26" s="753"/>
      <c r="CD26" s="753"/>
      <c r="CE26" s="753"/>
      <c r="CF26" s="753"/>
      <c r="CG26" s="753"/>
      <c r="CH26" s="753"/>
      <c r="CI26" s="753"/>
      <c r="CJ26" s="753"/>
      <c r="CK26" s="753"/>
      <c r="CL26" s="753"/>
      <c r="CM26" s="753"/>
      <c r="CN26" s="753"/>
      <c r="CO26" s="753"/>
      <c r="CP26" s="753"/>
      <c r="CQ26" s="753"/>
      <c r="CR26" s="753"/>
      <c r="CS26" s="753"/>
      <c r="CT26" s="753"/>
      <c r="CU26" s="753"/>
      <c r="CV26" s="753"/>
      <c r="CW26" s="753"/>
      <c r="CX26" s="753"/>
      <c r="CY26" s="753"/>
      <c r="CZ26" s="753"/>
      <c r="DA26" s="753"/>
      <c r="DB26" s="753"/>
      <c r="DC26" s="753"/>
      <c r="DD26" s="753"/>
      <c r="DE26" s="753"/>
      <c r="DF26" s="753"/>
      <c r="DG26" s="753"/>
      <c r="DH26" s="753"/>
      <c r="DI26" s="753"/>
      <c r="DJ26" s="753"/>
      <c r="DK26" s="753"/>
      <c r="DL26" s="753"/>
      <c r="DM26" s="753"/>
      <c r="DN26" s="753"/>
      <c r="DO26" s="753"/>
      <c r="DP26" s="753"/>
    </row>
    <row r="27" spans="1:120" s="43" customFormat="1" ht="20.25" x14ac:dyDescent="0.25">
      <c r="A27"/>
      <c r="B27" s="42"/>
      <c r="C27" s="42"/>
      <c r="D27" s="42"/>
      <c r="E27" s="42"/>
      <c r="F27" s="42"/>
      <c r="G27" s="42"/>
      <c r="H27" s="153"/>
      <c r="I27" s="153"/>
      <c r="J27" s="153"/>
      <c r="K27" s="153"/>
      <c r="M27" s="1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3"/>
      <c r="AL27" s="753"/>
      <c r="AM27" s="753"/>
      <c r="AN27" s="753"/>
      <c r="AO27" s="753"/>
      <c r="AP27" s="753"/>
      <c r="AQ27" s="753"/>
      <c r="AR27" s="753"/>
      <c r="AS27" s="753"/>
      <c r="AT27" s="753"/>
      <c r="AU27" s="753"/>
      <c r="AV27" s="753"/>
      <c r="AW27" s="753"/>
      <c r="AX27" s="753"/>
      <c r="AY27" s="753"/>
      <c r="AZ27" s="753"/>
      <c r="BA27" s="753"/>
      <c r="BB27" s="753"/>
      <c r="BC27" s="753"/>
      <c r="BD27" s="753"/>
      <c r="BE27" s="753"/>
      <c r="BF27" s="753"/>
      <c r="BG27" s="753"/>
      <c r="BH27" s="753"/>
      <c r="BI27" s="753"/>
      <c r="BJ27" s="753"/>
      <c r="BK27" s="753"/>
      <c r="BL27" s="753"/>
      <c r="BM27" s="753"/>
      <c r="BN27" s="753"/>
      <c r="BO27" s="753"/>
      <c r="BP27" s="753"/>
      <c r="BQ27" s="753"/>
      <c r="BR27" s="753"/>
      <c r="BS27" s="753"/>
      <c r="BT27" s="753"/>
      <c r="BU27" s="753"/>
      <c r="BV27" s="753"/>
      <c r="BW27" s="753"/>
      <c r="BX27" s="753"/>
      <c r="BY27" s="753"/>
      <c r="BZ27" s="753"/>
      <c r="CA27" s="753"/>
      <c r="CB27" s="753"/>
      <c r="CC27" s="753"/>
      <c r="CD27" s="753"/>
      <c r="CE27" s="753"/>
      <c r="CF27" s="753"/>
      <c r="CG27" s="753"/>
      <c r="CH27" s="753"/>
      <c r="CI27" s="753"/>
      <c r="CJ27" s="753"/>
      <c r="CK27" s="753"/>
      <c r="CL27" s="753"/>
      <c r="CM27" s="753"/>
      <c r="CN27" s="753"/>
      <c r="CO27" s="753"/>
      <c r="CP27" s="753"/>
      <c r="CQ27" s="753"/>
      <c r="CR27" s="753"/>
      <c r="CS27" s="753"/>
      <c r="CT27" s="753"/>
      <c r="CU27" s="753"/>
      <c r="CV27" s="753"/>
      <c r="CW27" s="753"/>
      <c r="CX27" s="753"/>
      <c r="CY27" s="753"/>
      <c r="CZ27" s="753"/>
      <c r="DA27" s="753"/>
      <c r="DB27" s="753"/>
      <c r="DC27" s="753"/>
      <c r="DD27" s="753"/>
      <c r="DE27" s="753"/>
      <c r="DF27" s="753"/>
      <c r="DG27" s="753"/>
      <c r="DH27" s="753"/>
      <c r="DI27" s="753"/>
      <c r="DJ27" s="753"/>
      <c r="DK27" s="753"/>
      <c r="DL27" s="753"/>
      <c r="DM27" s="753"/>
      <c r="DN27" s="753"/>
      <c r="DO27" s="753"/>
      <c r="DP27" s="753"/>
    </row>
    <row r="28" spans="1:120" ht="20.25" x14ac:dyDescent="0.3">
      <c r="B28" s="44"/>
      <c r="C28" s="45" t="s">
        <v>601</v>
      </c>
      <c r="D28" s="45"/>
      <c r="E28" s="45"/>
      <c r="F28" s="45"/>
      <c r="G28" s="45"/>
      <c r="H28" s="174"/>
      <c r="I28" s="154"/>
      <c r="J28" s="174"/>
      <c r="K28" s="154"/>
      <c r="M28" s="154"/>
      <c r="N28" s="753"/>
      <c r="U28" s="753"/>
      <c r="V28" s="753"/>
      <c r="W28" s="753"/>
      <c r="X28" s="753"/>
      <c r="Y28" s="753"/>
      <c r="Z28" s="753"/>
      <c r="AA28" s="753"/>
      <c r="AB28" s="753"/>
      <c r="AC28" s="753"/>
      <c r="AD28" s="753"/>
      <c r="AE28" s="753"/>
      <c r="AF28" s="753"/>
      <c r="AG28" s="753"/>
      <c r="AH28" s="753"/>
      <c r="AI28" s="753"/>
      <c r="AJ28" s="753"/>
      <c r="AK28" s="753"/>
      <c r="AL28" s="753"/>
      <c r="AM28" s="753"/>
      <c r="AN28" s="753"/>
      <c r="AO28" s="753"/>
      <c r="AP28" s="753"/>
      <c r="AQ28" s="753"/>
      <c r="AR28" s="753"/>
      <c r="AS28" s="753"/>
      <c r="AT28" s="753"/>
      <c r="AU28" s="753"/>
      <c r="AV28" s="753"/>
      <c r="AW28" s="753"/>
      <c r="AX28" s="753"/>
      <c r="AY28" s="753"/>
      <c r="AZ28" s="753"/>
      <c r="BA28" s="753"/>
      <c r="BB28" s="753"/>
      <c r="BC28" s="753"/>
      <c r="BD28" s="753"/>
      <c r="BE28" s="753"/>
      <c r="BF28" s="753"/>
      <c r="BG28" s="753"/>
      <c r="BH28" s="753"/>
      <c r="BI28" s="753"/>
      <c r="BJ28" s="753"/>
      <c r="BK28" s="753"/>
      <c r="BL28" s="753"/>
      <c r="BM28" s="753"/>
      <c r="BN28" s="753"/>
      <c r="BO28" s="753"/>
      <c r="BP28" s="753"/>
      <c r="BQ28" s="753"/>
      <c r="BR28" s="753"/>
      <c r="BS28" s="753"/>
      <c r="BT28" s="753"/>
      <c r="BU28" s="753"/>
      <c r="BV28" s="753"/>
      <c r="BW28" s="753"/>
      <c r="BX28" s="753"/>
      <c r="BY28" s="753"/>
      <c r="BZ28" s="753"/>
      <c r="CA28" s="753"/>
      <c r="CB28" s="753"/>
      <c r="CC28" s="753"/>
      <c r="CD28" s="753"/>
      <c r="CE28" s="753"/>
      <c r="CF28" s="753"/>
      <c r="CG28" s="753"/>
      <c r="CH28" s="753"/>
      <c r="CI28" s="753"/>
      <c r="CJ28" s="753"/>
      <c r="CK28" s="753"/>
      <c r="CL28" s="753"/>
      <c r="CM28" s="753"/>
      <c r="CN28" s="753"/>
      <c r="CO28" s="753"/>
      <c r="CP28" s="753"/>
      <c r="CQ28" s="753"/>
      <c r="CR28" s="753"/>
      <c r="CS28" s="753"/>
      <c r="CT28" s="753"/>
      <c r="CU28" s="753"/>
      <c r="CV28" s="753"/>
      <c r="CW28" s="753"/>
      <c r="CX28" s="753"/>
      <c r="CY28" s="753"/>
      <c r="CZ28" s="753"/>
      <c r="DA28" s="753"/>
      <c r="DB28" s="753"/>
      <c r="DC28" s="753"/>
      <c r="DD28" s="753"/>
      <c r="DE28" s="753"/>
      <c r="DF28" s="753"/>
      <c r="DG28" s="753"/>
      <c r="DH28" s="753"/>
      <c r="DI28" s="753"/>
      <c r="DJ28" s="753"/>
      <c r="DK28" s="753"/>
      <c r="DL28" s="753"/>
      <c r="DM28" s="753"/>
      <c r="DN28" s="753"/>
      <c r="DO28" s="753"/>
      <c r="DP28" s="753"/>
    </row>
    <row r="29" spans="1:120" s="43" customFormat="1" ht="20.25" hidden="1" x14ac:dyDescent="0.25">
      <c r="A29"/>
      <c r="B29" s="46"/>
      <c r="C29" s="46"/>
      <c r="D29" s="46"/>
      <c r="E29" s="46" t="s">
        <v>602</v>
      </c>
      <c r="F29" s="46"/>
      <c r="G29" s="46"/>
      <c r="H29" s="150"/>
      <c r="I29" s="150">
        <v>221731.4</v>
      </c>
      <c r="J29" s="150"/>
      <c r="K29" s="150">
        <v>221731.4</v>
      </c>
      <c r="L29" s="161"/>
      <c r="M29" s="150">
        <v>192474.47</v>
      </c>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3"/>
      <c r="AL29" s="753"/>
      <c r="AM29" s="753"/>
      <c r="AN29" s="753"/>
      <c r="AO29" s="753"/>
      <c r="AP29" s="753"/>
      <c r="AQ29" s="753"/>
      <c r="AR29" s="753"/>
      <c r="AS29" s="753"/>
      <c r="AT29" s="753"/>
      <c r="AU29" s="753"/>
      <c r="AV29" s="753"/>
      <c r="AW29" s="753"/>
      <c r="AX29" s="753"/>
      <c r="AY29" s="753"/>
      <c r="AZ29" s="753"/>
      <c r="BA29" s="753"/>
      <c r="BB29" s="753"/>
      <c r="BC29" s="753"/>
      <c r="BD29" s="753"/>
      <c r="BE29" s="753"/>
      <c r="BF29" s="753"/>
      <c r="BG29" s="753"/>
      <c r="BH29" s="753"/>
      <c r="BI29" s="753"/>
      <c r="BJ29" s="753"/>
      <c r="BK29" s="753"/>
      <c r="BL29" s="753"/>
      <c r="BM29" s="753"/>
      <c r="BN29" s="753"/>
      <c r="BO29" s="753"/>
      <c r="BP29" s="753"/>
      <c r="BQ29" s="753"/>
      <c r="BR29" s="753"/>
      <c r="BS29" s="753"/>
      <c r="BT29" s="753"/>
      <c r="BU29" s="753"/>
      <c r="BV29" s="753"/>
      <c r="BW29" s="753"/>
      <c r="BX29" s="753"/>
      <c r="BY29" s="753"/>
      <c r="BZ29" s="753"/>
      <c r="CA29" s="753"/>
      <c r="CB29" s="753"/>
      <c r="CC29" s="753"/>
      <c r="CD29" s="753"/>
      <c r="CE29" s="753"/>
      <c r="CF29" s="753"/>
      <c r="CG29" s="753"/>
      <c r="CH29" s="753"/>
      <c r="CI29" s="753"/>
      <c r="CJ29" s="753"/>
      <c r="CK29" s="753"/>
      <c r="CL29" s="753"/>
      <c r="CM29" s="753"/>
      <c r="CN29" s="753"/>
      <c r="CO29" s="753"/>
      <c r="CP29" s="753"/>
      <c r="CQ29" s="753"/>
      <c r="CR29" s="753"/>
      <c r="CS29" s="753"/>
      <c r="CT29" s="753"/>
      <c r="CU29" s="753"/>
      <c r="CV29" s="753"/>
      <c r="CW29" s="753"/>
      <c r="CX29" s="753"/>
      <c r="CY29" s="753"/>
      <c r="CZ29" s="753"/>
      <c r="DA29" s="753"/>
      <c r="DB29" s="753"/>
      <c r="DC29" s="753"/>
      <c r="DD29" s="753"/>
      <c r="DE29" s="753"/>
      <c r="DF29" s="753"/>
      <c r="DG29" s="753"/>
      <c r="DH29" s="753"/>
      <c r="DI29" s="753"/>
      <c r="DJ29" s="753"/>
      <c r="DK29" s="753"/>
      <c r="DL29" s="753"/>
      <c r="DM29" s="753"/>
      <c r="DN29" s="753"/>
      <c r="DO29" s="753"/>
      <c r="DP29" s="753"/>
    </row>
    <row r="30" spans="1:120" s="43" customFormat="1" ht="20.25" hidden="1" x14ac:dyDescent="0.25">
      <c r="A30"/>
      <c r="B30" s="46"/>
      <c r="C30" s="46"/>
      <c r="D30" s="46"/>
      <c r="E30" s="46" t="s">
        <v>603</v>
      </c>
      <c r="F30" s="46"/>
      <c r="G30" s="46"/>
      <c r="H30" s="150"/>
      <c r="I30" s="150">
        <v>49562</v>
      </c>
      <c r="J30" s="150"/>
      <c r="K30" s="150">
        <v>49562</v>
      </c>
      <c r="L30" s="161"/>
      <c r="M30" s="150">
        <v>49562</v>
      </c>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3"/>
      <c r="AL30" s="753"/>
      <c r="AM30" s="753"/>
      <c r="AN30" s="753"/>
      <c r="AO30" s="753"/>
      <c r="AP30" s="753"/>
      <c r="AQ30" s="753"/>
      <c r="AR30" s="753"/>
      <c r="AS30" s="753"/>
      <c r="AT30" s="753"/>
      <c r="AU30" s="753"/>
      <c r="AV30" s="753"/>
      <c r="AW30" s="753"/>
      <c r="AX30" s="753"/>
      <c r="AY30" s="753"/>
      <c r="AZ30" s="753"/>
      <c r="BA30" s="753"/>
      <c r="BB30" s="753"/>
      <c r="BC30" s="753"/>
      <c r="BD30" s="753"/>
      <c r="BE30" s="753"/>
      <c r="BF30" s="753"/>
      <c r="BG30" s="753"/>
      <c r="BH30" s="753"/>
      <c r="BI30" s="753"/>
      <c r="BJ30" s="753"/>
      <c r="BK30" s="753"/>
      <c r="BL30" s="753"/>
      <c r="BM30" s="753"/>
      <c r="BN30" s="753"/>
      <c r="BO30" s="753"/>
      <c r="BP30" s="753"/>
      <c r="BQ30" s="753"/>
      <c r="BR30" s="753"/>
      <c r="BS30" s="753"/>
      <c r="BT30" s="753"/>
      <c r="BU30" s="753"/>
      <c r="BV30" s="753"/>
      <c r="BW30" s="753"/>
      <c r="BX30" s="753"/>
      <c r="BY30" s="753"/>
      <c r="BZ30" s="753"/>
      <c r="CA30" s="753"/>
      <c r="CB30" s="753"/>
      <c r="CC30" s="753"/>
      <c r="CD30" s="753"/>
      <c r="CE30" s="753"/>
      <c r="CF30" s="753"/>
      <c r="CG30" s="753"/>
      <c r="CH30" s="753"/>
      <c r="CI30" s="753"/>
      <c r="CJ30" s="753"/>
      <c r="CK30" s="753"/>
      <c r="CL30" s="753"/>
      <c r="CM30" s="753"/>
      <c r="CN30" s="753"/>
      <c r="CO30" s="753"/>
      <c r="CP30" s="753"/>
      <c r="CQ30" s="753"/>
      <c r="CR30" s="753"/>
      <c r="CS30" s="753"/>
      <c r="CT30" s="753"/>
      <c r="CU30" s="753"/>
      <c r="CV30" s="753"/>
      <c r="CW30" s="753"/>
      <c r="CX30" s="753"/>
      <c r="CY30" s="753"/>
      <c r="CZ30" s="753"/>
      <c r="DA30" s="753"/>
      <c r="DB30" s="753"/>
      <c r="DC30" s="753"/>
      <c r="DD30" s="753"/>
      <c r="DE30" s="753"/>
      <c r="DF30" s="753"/>
      <c r="DG30" s="753"/>
      <c r="DH30" s="753"/>
      <c r="DI30" s="753"/>
      <c r="DJ30" s="753"/>
      <c r="DK30" s="753"/>
      <c r="DL30" s="753"/>
      <c r="DM30" s="753"/>
      <c r="DN30" s="753"/>
      <c r="DO30" s="753"/>
      <c r="DP30" s="753"/>
    </row>
    <row r="31" spans="1:120" s="43" customFormat="1" ht="20.25" hidden="1" x14ac:dyDescent="0.25">
      <c r="A31"/>
      <c r="B31" s="46"/>
      <c r="C31" s="46"/>
      <c r="D31" s="46"/>
      <c r="E31" s="46" t="s">
        <v>604</v>
      </c>
      <c r="F31" s="46"/>
      <c r="G31" s="46"/>
      <c r="H31" s="150"/>
      <c r="I31" s="150">
        <v>207734.77</v>
      </c>
      <c r="J31" s="150"/>
      <c r="K31" s="150">
        <v>207734.77</v>
      </c>
      <c r="L31" s="161"/>
      <c r="M31" s="150">
        <v>158464.06</v>
      </c>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3"/>
      <c r="AL31" s="753"/>
      <c r="AM31" s="753"/>
      <c r="AN31" s="753"/>
      <c r="AO31" s="753"/>
      <c r="AP31" s="753"/>
      <c r="AQ31" s="753"/>
      <c r="AR31" s="753"/>
      <c r="AS31" s="753"/>
      <c r="AT31" s="753"/>
      <c r="AU31" s="753"/>
      <c r="AV31" s="753"/>
      <c r="AW31" s="753"/>
      <c r="AX31" s="753"/>
      <c r="AY31" s="753"/>
      <c r="AZ31" s="753"/>
      <c r="BA31" s="753"/>
      <c r="BB31" s="753"/>
      <c r="BC31" s="753"/>
      <c r="BD31" s="753"/>
      <c r="BE31" s="753"/>
      <c r="BF31" s="753"/>
      <c r="BG31" s="753"/>
      <c r="BH31" s="753"/>
      <c r="BI31" s="753"/>
      <c r="BJ31" s="753"/>
      <c r="BK31" s="753"/>
      <c r="BL31" s="753"/>
      <c r="BM31" s="753"/>
      <c r="BN31" s="753"/>
      <c r="BO31" s="753"/>
      <c r="BP31" s="753"/>
      <c r="BQ31" s="753"/>
      <c r="BR31" s="753"/>
      <c r="BS31" s="753"/>
      <c r="BT31" s="753"/>
      <c r="BU31" s="753"/>
      <c r="BV31" s="753"/>
      <c r="BW31" s="753"/>
      <c r="BX31" s="753"/>
      <c r="BY31" s="753"/>
      <c r="BZ31" s="753"/>
      <c r="CA31" s="753"/>
      <c r="CB31" s="753"/>
      <c r="CC31" s="753"/>
      <c r="CD31" s="753"/>
      <c r="CE31" s="753"/>
      <c r="CF31" s="753"/>
      <c r="CG31" s="753"/>
      <c r="CH31" s="753"/>
      <c r="CI31" s="753"/>
      <c r="CJ31" s="753"/>
      <c r="CK31" s="753"/>
      <c r="CL31" s="753"/>
      <c r="CM31" s="753"/>
      <c r="CN31" s="753"/>
      <c r="CO31" s="753"/>
      <c r="CP31" s="753"/>
      <c r="CQ31" s="753"/>
      <c r="CR31" s="753"/>
      <c r="CS31" s="753"/>
      <c r="CT31" s="753"/>
      <c r="CU31" s="753"/>
      <c r="CV31" s="753"/>
      <c r="CW31" s="753"/>
      <c r="CX31" s="753"/>
      <c r="CY31" s="753"/>
      <c r="CZ31" s="753"/>
      <c r="DA31" s="753"/>
      <c r="DB31" s="753"/>
      <c r="DC31" s="753"/>
      <c r="DD31" s="753"/>
      <c r="DE31" s="753"/>
      <c r="DF31" s="753"/>
      <c r="DG31" s="753"/>
      <c r="DH31" s="753"/>
      <c r="DI31" s="753"/>
      <c r="DJ31" s="753"/>
      <c r="DK31" s="753"/>
      <c r="DL31" s="753"/>
      <c r="DM31" s="753"/>
      <c r="DN31" s="753"/>
      <c r="DO31" s="753"/>
      <c r="DP31" s="753"/>
    </row>
    <row r="32" spans="1:120" s="43" customFormat="1" ht="20.25" hidden="1" x14ac:dyDescent="0.25">
      <c r="A32"/>
      <c r="B32" s="46"/>
      <c r="C32" s="46"/>
      <c r="D32" s="46"/>
      <c r="E32" s="46" t="s">
        <v>605</v>
      </c>
      <c r="F32" s="46"/>
      <c r="G32" s="46"/>
      <c r="H32" s="150"/>
      <c r="I32" s="150">
        <v>-324036.03999999998</v>
      </c>
      <c r="J32" s="150"/>
      <c r="K32" s="150">
        <v>-324036.03999999998</v>
      </c>
      <c r="L32" s="161"/>
      <c r="M32" s="150">
        <f>-279077.04</f>
        <v>-279077.03999999998</v>
      </c>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3"/>
      <c r="AL32" s="753"/>
      <c r="AM32" s="753"/>
      <c r="AN32" s="753"/>
      <c r="AO32" s="753"/>
      <c r="AP32" s="753"/>
      <c r="AQ32" s="753"/>
      <c r="AR32" s="753"/>
      <c r="AS32" s="753"/>
      <c r="AT32" s="753"/>
      <c r="AU32" s="753"/>
      <c r="AV32" s="753"/>
      <c r="AW32" s="753"/>
      <c r="AX32" s="753"/>
      <c r="AY32" s="753"/>
      <c r="AZ32" s="753"/>
      <c r="BA32" s="753"/>
      <c r="BB32" s="753"/>
      <c r="BC32" s="753"/>
      <c r="BD32" s="753"/>
      <c r="BE32" s="753"/>
      <c r="BF32" s="753"/>
      <c r="BG32" s="753"/>
      <c r="BH32" s="753"/>
      <c r="BI32" s="753"/>
      <c r="BJ32" s="753"/>
      <c r="BK32" s="753"/>
      <c r="BL32" s="753"/>
      <c r="BM32" s="753"/>
      <c r="BN32" s="753"/>
      <c r="BO32" s="753"/>
      <c r="BP32" s="753"/>
      <c r="BQ32" s="753"/>
      <c r="BR32" s="753"/>
      <c r="BS32" s="753"/>
      <c r="BT32" s="753"/>
      <c r="BU32" s="753"/>
      <c r="BV32" s="753"/>
      <c r="BW32" s="753"/>
      <c r="BX32" s="753"/>
      <c r="BY32" s="753"/>
      <c r="BZ32" s="753"/>
      <c r="CA32" s="753"/>
      <c r="CB32" s="753"/>
      <c r="CC32" s="753"/>
      <c r="CD32" s="753"/>
      <c r="CE32" s="753"/>
      <c r="CF32" s="753"/>
      <c r="CG32" s="753"/>
      <c r="CH32" s="753"/>
      <c r="CI32" s="753"/>
      <c r="CJ32" s="753"/>
      <c r="CK32" s="753"/>
      <c r="CL32" s="753"/>
      <c r="CM32" s="753"/>
      <c r="CN32" s="753"/>
      <c r="CO32" s="753"/>
      <c r="CP32" s="753"/>
      <c r="CQ32" s="753"/>
      <c r="CR32" s="753"/>
      <c r="CS32" s="753"/>
      <c r="CT32" s="753"/>
      <c r="CU32" s="753"/>
      <c r="CV32" s="753"/>
      <c r="CW32" s="753"/>
      <c r="CX32" s="753"/>
      <c r="CY32" s="753"/>
      <c r="CZ32" s="753"/>
      <c r="DA32" s="753"/>
      <c r="DB32" s="753"/>
      <c r="DC32" s="753"/>
      <c r="DD32" s="753"/>
      <c r="DE32" s="753"/>
      <c r="DF32" s="753"/>
      <c r="DG32" s="753"/>
      <c r="DH32" s="753"/>
      <c r="DI32" s="753"/>
      <c r="DJ32" s="753"/>
      <c r="DK32" s="753"/>
      <c r="DL32" s="753"/>
      <c r="DM32" s="753"/>
      <c r="DN32" s="753"/>
      <c r="DO32" s="753"/>
      <c r="DP32" s="753"/>
    </row>
    <row r="33" spans="1:120" s="43" customFormat="1" ht="20.25" x14ac:dyDescent="0.25">
      <c r="A33"/>
      <c r="B33" s="42"/>
      <c r="C33" s="48" t="s">
        <v>606</v>
      </c>
      <c r="D33" s="48"/>
      <c r="E33" s="48"/>
      <c r="F33" s="48"/>
      <c r="G33" s="48"/>
      <c r="H33" s="153"/>
      <c r="I33" s="155">
        <v>181812</v>
      </c>
      <c r="J33" s="153"/>
      <c r="K33" s="155">
        <v>170839.83</v>
      </c>
      <c r="M33" s="155">
        <v>207235</v>
      </c>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753"/>
      <c r="AL33" s="753"/>
      <c r="AM33" s="753"/>
      <c r="AN33" s="753"/>
      <c r="AO33" s="753"/>
      <c r="AP33" s="753"/>
      <c r="AQ33" s="753"/>
      <c r="AR33" s="753"/>
      <c r="AS33" s="753"/>
      <c r="AT33" s="753"/>
      <c r="AU33" s="753"/>
      <c r="AV33" s="753"/>
      <c r="AW33" s="753"/>
      <c r="AX33" s="753"/>
      <c r="AY33" s="753"/>
      <c r="AZ33" s="753"/>
      <c r="BA33" s="753"/>
      <c r="BB33" s="753"/>
      <c r="BC33" s="753"/>
      <c r="BD33" s="753"/>
      <c r="BE33" s="753"/>
      <c r="BF33" s="753"/>
      <c r="BG33" s="753"/>
      <c r="BH33" s="753"/>
      <c r="BI33" s="753"/>
      <c r="BJ33" s="753"/>
      <c r="BK33" s="753"/>
      <c r="BL33" s="753"/>
      <c r="BM33" s="753"/>
      <c r="BN33" s="753"/>
      <c r="BO33" s="753"/>
      <c r="BP33" s="753"/>
      <c r="BQ33" s="753"/>
      <c r="BR33" s="753"/>
      <c r="BS33" s="753"/>
      <c r="BT33" s="753"/>
      <c r="BU33" s="753"/>
      <c r="BV33" s="753"/>
      <c r="BW33" s="753"/>
      <c r="BX33" s="753"/>
      <c r="BY33" s="753"/>
      <c r="BZ33" s="753"/>
      <c r="CA33" s="753"/>
      <c r="CB33" s="753"/>
      <c r="CC33" s="753"/>
      <c r="CD33" s="753"/>
      <c r="CE33" s="753"/>
      <c r="CF33" s="753"/>
      <c r="CG33" s="753"/>
      <c r="CH33" s="753"/>
      <c r="CI33" s="753"/>
      <c r="CJ33" s="753"/>
      <c r="CK33" s="753"/>
      <c r="CL33" s="753"/>
      <c r="CM33" s="753"/>
      <c r="CN33" s="753"/>
      <c r="CO33" s="753"/>
      <c r="CP33" s="753"/>
      <c r="CQ33" s="753"/>
      <c r="CR33" s="753"/>
      <c r="CS33" s="753"/>
      <c r="CT33" s="753"/>
      <c r="CU33" s="753"/>
      <c r="CV33" s="753"/>
      <c r="CW33" s="753"/>
      <c r="CX33" s="753"/>
      <c r="CY33" s="753"/>
      <c r="CZ33" s="753"/>
      <c r="DA33" s="753"/>
      <c r="DB33" s="753"/>
      <c r="DC33" s="753"/>
      <c r="DD33" s="753"/>
      <c r="DE33" s="753"/>
      <c r="DF33" s="753"/>
      <c r="DG33" s="753"/>
      <c r="DH33" s="753"/>
      <c r="DI33" s="753"/>
      <c r="DJ33" s="753"/>
      <c r="DK33" s="753"/>
      <c r="DL33" s="753"/>
      <c r="DM33" s="753"/>
      <c r="DN33" s="753"/>
      <c r="DO33" s="753"/>
      <c r="DP33" s="753"/>
    </row>
    <row r="34" spans="1:120" s="43" customFormat="1" ht="7.5" customHeight="1" x14ac:dyDescent="0.25">
      <c r="A34"/>
      <c r="B34" s="42"/>
      <c r="C34" s="42"/>
      <c r="D34" s="42"/>
      <c r="E34" s="42"/>
      <c r="F34" s="42"/>
      <c r="G34" s="42"/>
      <c r="H34" s="153"/>
      <c r="I34" s="153" t="s">
        <v>607</v>
      </c>
      <c r="J34" s="153"/>
      <c r="K34" s="153" t="s">
        <v>607</v>
      </c>
      <c r="M34" s="1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c r="AP34" s="753"/>
      <c r="AQ34" s="753"/>
      <c r="AR34" s="753"/>
      <c r="AS34" s="753"/>
      <c r="AT34" s="753"/>
      <c r="AU34" s="753"/>
      <c r="AV34" s="753"/>
      <c r="AW34" s="753"/>
      <c r="AX34" s="753"/>
      <c r="AY34" s="753"/>
      <c r="AZ34" s="753"/>
      <c r="BA34" s="753"/>
      <c r="BB34" s="753"/>
      <c r="BC34" s="753"/>
      <c r="BD34" s="753"/>
      <c r="BE34" s="753"/>
      <c r="BF34" s="753"/>
      <c r="BG34" s="753"/>
      <c r="BH34" s="753"/>
      <c r="BI34" s="753"/>
      <c r="BJ34" s="753"/>
      <c r="BK34" s="753"/>
      <c r="BL34" s="753"/>
      <c r="BM34" s="753"/>
      <c r="BN34" s="753"/>
      <c r="BO34" s="753"/>
      <c r="BP34" s="753"/>
      <c r="BQ34" s="753"/>
      <c r="BR34" s="753"/>
      <c r="BS34" s="753"/>
      <c r="BT34" s="753"/>
      <c r="BU34" s="753"/>
      <c r="BV34" s="753"/>
      <c r="BW34" s="753"/>
      <c r="BX34" s="753"/>
      <c r="BY34" s="753"/>
      <c r="BZ34" s="753"/>
      <c r="CA34" s="753"/>
      <c r="CB34" s="753"/>
      <c r="CC34" s="753"/>
      <c r="CD34" s="753"/>
      <c r="CE34" s="753"/>
      <c r="CF34" s="753"/>
      <c r="CG34" s="753"/>
      <c r="CH34" s="753"/>
      <c r="CI34" s="753"/>
      <c r="CJ34" s="753"/>
      <c r="CK34" s="753"/>
      <c r="CL34" s="753"/>
      <c r="CM34" s="753"/>
      <c r="CN34" s="753"/>
      <c r="CO34" s="753"/>
      <c r="CP34" s="753"/>
      <c r="CQ34" s="753"/>
      <c r="CR34" s="753"/>
      <c r="CS34" s="753"/>
      <c r="CT34" s="753"/>
      <c r="CU34" s="753"/>
      <c r="CV34" s="753"/>
      <c r="CW34" s="753"/>
      <c r="CX34" s="753"/>
      <c r="CY34" s="753"/>
      <c r="CZ34" s="753"/>
      <c r="DA34" s="753"/>
      <c r="DB34" s="753"/>
      <c r="DC34" s="753"/>
      <c r="DD34" s="753"/>
      <c r="DE34" s="753"/>
      <c r="DF34" s="753"/>
      <c r="DG34" s="753"/>
      <c r="DH34" s="753"/>
      <c r="DI34" s="753"/>
      <c r="DJ34" s="753"/>
      <c r="DK34" s="753"/>
      <c r="DL34" s="753"/>
      <c r="DM34" s="753"/>
      <c r="DN34" s="753"/>
      <c r="DO34" s="753"/>
      <c r="DP34" s="753"/>
    </row>
    <row r="35" spans="1:120" s="43" customFormat="1" ht="12.75" customHeight="1" thickBot="1" x14ac:dyDescent="0.3">
      <c r="A35"/>
      <c r="B35" s="42"/>
      <c r="C35" s="42"/>
      <c r="D35" s="42"/>
      <c r="E35" s="42"/>
      <c r="F35" s="42"/>
      <c r="G35" s="42"/>
      <c r="H35" s="150"/>
      <c r="I35" s="150"/>
      <c r="J35" s="150"/>
      <c r="K35" s="150"/>
      <c r="M35" s="150"/>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c r="AP35" s="753"/>
      <c r="AQ35" s="753"/>
      <c r="AR35" s="753"/>
      <c r="AS35" s="753"/>
      <c r="AT35" s="753"/>
      <c r="AU35" s="753"/>
      <c r="AV35" s="753"/>
      <c r="AW35" s="753"/>
      <c r="AX35" s="753"/>
      <c r="AY35" s="753"/>
      <c r="AZ35" s="753"/>
      <c r="BA35" s="753"/>
      <c r="BB35" s="753"/>
      <c r="BC35" s="753"/>
      <c r="BD35" s="753"/>
      <c r="BE35" s="753"/>
      <c r="BF35" s="753"/>
      <c r="BG35" s="753"/>
      <c r="BH35" s="753"/>
      <c r="BI35" s="753"/>
      <c r="BJ35" s="753"/>
      <c r="BK35" s="753"/>
      <c r="BL35" s="753"/>
      <c r="BM35" s="753"/>
      <c r="BN35" s="753"/>
      <c r="BO35" s="753"/>
      <c r="BP35" s="753"/>
      <c r="BQ35" s="753"/>
      <c r="BR35" s="753"/>
      <c r="BS35" s="753"/>
      <c r="BT35" s="753"/>
      <c r="BU35" s="753"/>
      <c r="BV35" s="753"/>
      <c r="BW35" s="753"/>
      <c r="BX35" s="753"/>
      <c r="BY35" s="753"/>
      <c r="BZ35" s="753"/>
      <c r="CA35" s="753"/>
      <c r="CB35" s="753"/>
      <c r="CC35" s="753"/>
      <c r="CD35" s="753"/>
      <c r="CE35" s="753"/>
      <c r="CF35" s="753"/>
      <c r="CG35" s="753"/>
      <c r="CH35" s="753"/>
      <c r="CI35" s="753"/>
      <c r="CJ35" s="753"/>
      <c r="CK35" s="753"/>
      <c r="CL35" s="753"/>
      <c r="CM35" s="753"/>
      <c r="CN35" s="753"/>
      <c r="CO35" s="753"/>
      <c r="CP35" s="753"/>
      <c r="CQ35" s="753"/>
      <c r="CR35" s="753"/>
      <c r="CS35" s="753"/>
      <c r="CT35" s="753"/>
      <c r="CU35" s="753"/>
      <c r="CV35" s="753"/>
      <c r="CW35" s="753"/>
      <c r="CX35" s="753"/>
      <c r="CY35" s="753"/>
      <c r="CZ35" s="753"/>
      <c r="DA35" s="753"/>
      <c r="DB35" s="753"/>
      <c r="DC35" s="753"/>
      <c r="DD35" s="753"/>
      <c r="DE35" s="753"/>
      <c r="DF35" s="753"/>
      <c r="DG35" s="753"/>
      <c r="DH35" s="753"/>
      <c r="DI35" s="753"/>
      <c r="DJ35" s="753"/>
      <c r="DK35" s="753"/>
      <c r="DL35" s="753"/>
      <c r="DM35" s="753"/>
      <c r="DN35" s="753"/>
      <c r="DO35" s="753"/>
      <c r="DP35" s="753"/>
    </row>
    <row r="36" spans="1:120" s="51" customFormat="1" ht="27.75" thickTop="1" thickBot="1" x14ac:dyDescent="0.3">
      <c r="A36"/>
      <c r="B36" s="49" t="s">
        <v>608</v>
      </c>
      <c r="C36" s="49"/>
      <c r="D36" s="49"/>
      <c r="E36" s="49"/>
      <c r="F36" s="49"/>
      <c r="G36" s="49"/>
      <c r="H36" s="176"/>
      <c r="I36" s="160">
        <f>I26+I33</f>
        <v>1492608.52</v>
      </c>
      <c r="J36" s="176"/>
      <c r="K36" s="160">
        <f>K26+K33</f>
        <v>1429622.3000000003</v>
      </c>
      <c r="L36" s="50"/>
      <c r="M36" s="160">
        <f>M26+M33</f>
        <v>1361945.8900000001</v>
      </c>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c r="AP36" s="753"/>
      <c r="AQ36" s="753"/>
      <c r="AR36" s="753"/>
      <c r="AS36" s="753"/>
      <c r="AT36" s="753"/>
      <c r="AU36" s="753"/>
      <c r="AV36" s="753"/>
      <c r="AW36" s="753"/>
      <c r="AX36" s="753"/>
      <c r="AY36" s="753"/>
      <c r="AZ36" s="753"/>
      <c r="BA36" s="753"/>
      <c r="BB36" s="753"/>
      <c r="BC36" s="753"/>
      <c r="BD36" s="753"/>
      <c r="BE36" s="753"/>
      <c r="BF36" s="753"/>
      <c r="BG36" s="753"/>
      <c r="BH36" s="753"/>
      <c r="BI36" s="753"/>
      <c r="BJ36" s="753"/>
      <c r="BK36" s="753"/>
      <c r="BL36" s="753"/>
      <c r="BM36" s="753"/>
      <c r="BN36" s="753"/>
      <c r="BO36" s="753"/>
      <c r="BP36" s="753"/>
      <c r="BQ36" s="753"/>
      <c r="BR36" s="753"/>
      <c r="BS36" s="753"/>
      <c r="BT36" s="753"/>
      <c r="BU36" s="753"/>
      <c r="BV36" s="753"/>
      <c r="BW36" s="753"/>
      <c r="BX36" s="753"/>
      <c r="BY36" s="753"/>
      <c r="BZ36" s="753"/>
      <c r="CA36" s="753"/>
      <c r="CB36" s="753"/>
      <c r="CC36" s="753"/>
      <c r="CD36" s="753"/>
      <c r="CE36" s="753"/>
      <c r="CF36" s="753"/>
      <c r="CG36" s="753"/>
      <c r="CH36" s="753"/>
      <c r="CI36" s="753"/>
      <c r="CJ36" s="753"/>
      <c r="CK36" s="753"/>
      <c r="CL36" s="753"/>
      <c r="CM36" s="753"/>
      <c r="CN36" s="753"/>
      <c r="CO36" s="753"/>
      <c r="CP36" s="753"/>
      <c r="CQ36" s="753"/>
      <c r="CR36" s="753"/>
      <c r="CS36" s="753"/>
      <c r="CT36" s="753"/>
      <c r="CU36" s="753"/>
      <c r="CV36" s="753"/>
      <c r="CW36" s="753"/>
      <c r="CX36" s="753"/>
      <c r="CY36" s="753"/>
      <c r="CZ36" s="753"/>
      <c r="DA36" s="753"/>
      <c r="DB36" s="753"/>
      <c r="DC36" s="753"/>
      <c r="DD36" s="753"/>
      <c r="DE36" s="753"/>
      <c r="DF36" s="753"/>
      <c r="DG36" s="753"/>
      <c r="DH36" s="753"/>
      <c r="DI36" s="753"/>
      <c r="DJ36" s="753"/>
      <c r="DK36" s="753"/>
      <c r="DL36" s="753"/>
      <c r="DM36" s="753"/>
      <c r="DN36" s="753"/>
      <c r="DO36" s="753"/>
      <c r="DP36" s="753"/>
    </row>
    <row r="37" spans="1:120" s="52" customFormat="1" ht="33" customHeight="1" thickTop="1" thickBot="1" x14ac:dyDescent="0.3">
      <c r="A37"/>
      <c r="B37" s="42"/>
      <c r="C37" s="42"/>
      <c r="D37" s="42"/>
      <c r="E37" s="42"/>
      <c r="F37" s="42"/>
      <c r="G37" s="42"/>
      <c r="H37" s="225"/>
      <c r="I37" s="153"/>
      <c r="J37" s="153"/>
      <c r="K37" s="153"/>
      <c r="M37" s="1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N37" s="753"/>
      <c r="AO37" s="753"/>
      <c r="AP37" s="753"/>
      <c r="AQ37" s="753"/>
      <c r="AR37" s="753"/>
      <c r="AS37" s="753"/>
      <c r="AT37" s="753"/>
      <c r="AU37" s="753"/>
      <c r="AV37" s="753"/>
      <c r="AW37" s="753"/>
      <c r="AX37" s="753"/>
      <c r="AY37" s="753"/>
      <c r="AZ37" s="753"/>
      <c r="BA37" s="753"/>
      <c r="BB37" s="753"/>
      <c r="BC37" s="753"/>
      <c r="BD37" s="753"/>
      <c r="BE37" s="753"/>
      <c r="BF37" s="753"/>
      <c r="BG37" s="753"/>
      <c r="BH37" s="753"/>
      <c r="BI37" s="753"/>
      <c r="BJ37" s="753"/>
      <c r="BK37" s="753"/>
      <c r="BL37" s="753"/>
      <c r="BM37" s="753"/>
      <c r="BN37" s="753"/>
      <c r="BO37" s="753"/>
      <c r="BP37" s="753"/>
      <c r="BQ37" s="753"/>
      <c r="BR37" s="753"/>
      <c r="BS37" s="753"/>
      <c r="BT37" s="753"/>
      <c r="BU37" s="753"/>
      <c r="BV37" s="753"/>
      <c r="BW37" s="753"/>
      <c r="BX37" s="753"/>
      <c r="BY37" s="753"/>
      <c r="BZ37" s="753"/>
      <c r="CA37" s="753"/>
      <c r="CB37" s="753"/>
      <c r="CC37" s="753"/>
      <c r="CD37" s="753"/>
      <c r="CE37" s="753"/>
      <c r="CF37" s="753"/>
      <c r="CG37" s="753"/>
      <c r="CH37" s="753"/>
      <c r="CI37" s="753"/>
      <c r="CJ37" s="753"/>
      <c r="CK37" s="753"/>
      <c r="CL37" s="753"/>
      <c r="CM37" s="753"/>
      <c r="CN37" s="753"/>
      <c r="CO37" s="753"/>
      <c r="CP37" s="753"/>
      <c r="CQ37" s="753"/>
      <c r="CR37" s="753"/>
      <c r="CS37" s="753"/>
      <c r="CT37" s="753"/>
      <c r="CU37" s="753"/>
      <c r="CV37" s="753"/>
      <c r="CW37" s="753"/>
      <c r="CX37" s="753"/>
      <c r="CY37" s="753"/>
      <c r="CZ37" s="753"/>
      <c r="DA37" s="753"/>
      <c r="DB37" s="753"/>
      <c r="DC37" s="753"/>
      <c r="DD37" s="753"/>
      <c r="DE37" s="753"/>
      <c r="DF37" s="753"/>
      <c r="DG37" s="753"/>
      <c r="DH37" s="753"/>
      <c r="DI37" s="753"/>
      <c r="DJ37" s="753"/>
      <c r="DK37" s="753"/>
      <c r="DL37" s="753"/>
      <c r="DM37" s="753"/>
      <c r="DN37" s="753"/>
      <c r="DO37" s="753"/>
      <c r="DP37" s="753"/>
    </row>
    <row r="38" spans="1:120" s="41" customFormat="1" ht="27.75" thickTop="1" thickBot="1" x14ac:dyDescent="0.3">
      <c r="A38"/>
      <c r="B38" s="39" t="s">
        <v>609</v>
      </c>
      <c r="C38" s="39"/>
      <c r="D38" s="39"/>
      <c r="E38" s="39"/>
      <c r="F38" s="39"/>
      <c r="G38" s="39"/>
      <c r="H38" s="224"/>
      <c r="I38" s="156"/>
      <c r="J38" s="156"/>
      <c r="K38" s="156"/>
      <c r="L38" s="40"/>
      <c r="M38" s="156"/>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c r="AK38" s="753"/>
      <c r="AL38" s="753"/>
      <c r="AM38" s="753"/>
      <c r="AN38" s="753"/>
      <c r="AO38" s="753"/>
      <c r="AP38" s="753"/>
      <c r="AQ38" s="753"/>
      <c r="AR38" s="753"/>
      <c r="AS38" s="753"/>
      <c r="AT38" s="753"/>
      <c r="AU38" s="753"/>
      <c r="AV38" s="753"/>
      <c r="AW38" s="753"/>
      <c r="AX38" s="753"/>
      <c r="AY38" s="753"/>
      <c r="AZ38" s="753"/>
      <c r="BA38" s="753"/>
      <c r="BB38" s="753"/>
      <c r="BC38" s="753"/>
      <c r="BD38" s="753"/>
      <c r="BE38" s="753"/>
      <c r="BF38" s="753"/>
      <c r="BG38" s="753"/>
      <c r="BH38" s="753"/>
      <c r="BI38" s="753"/>
      <c r="BJ38" s="753"/>
      <c r="BK38" s="753"/>
      <c r="BL38" s="753"/>
      <c r="BM38" s="753"/>
      <c r="BN38" s="753"/>
      <c r="BO38" s="753"/>
      <c r="BP38" s="753"/>
      <c r="BQ38" s="753"/>
      <c r="BR38" s="753"/>
      <c r="BS38" s="753"/>
      <c r="BT38" s="753"/>
      <c r="BU38" s="753"/>
      <c r="BV38" s="753"/>
      <c r="BW38" s="753"/>
      <c r="BX38" s="753"/>
      <c r="BY38" s="753"/>
      <c r="BZ38" s="753"/>
      <c r="CA38" s="753"/>
      <c r="CB38" s="753"/>
      <c r="CC38" s="753"/>
      <c r="CD38" s="753"/>
      <c r="CE38" s="753"/>
      <c r="CF38" s="753"/>
      <c r="CG38" s="753"/>
      <c r="CH38" s="753"/>
      <c r="CI38" s="753"/>
      <c r="CJ38" s="753"/>
      <c r="CK38" s="753"/>
      <c r="CL38" s="753"/>
      <c r="CM38" s="753"/>
      <c r="CN38" s="753"/>
      <c r="CO38" s="753"/>
      <c r="CP38" s="753"/>
      <c r="CQ38" s="753"/>
      <c r="CR38" s="753"/>
      <c r="CS38" s="753"/>
      <c r="CT38" s="753"/>
      <c r="CU38" s="753"/>
      <c r="CV38" s="753"/>
      <c r="CW38" s="753"/>
      <c r="CX38" s="753"/>
      <c r="CY38" s="753"/>
      <c r="CZ38" s="753"/>
      <c r="DA38" s="753"/>
      <c r="DB38" s="753"/>
      <c r="DC38" s="753"/>
      <c r="DD38" s="753"/>
      <c r="DE38" s="753"/>
      <c r="DF38" s="753"/>
      <c r="DG38" s="753"/>
      <c r="DH38" s="753"/>
      <c r="DI38" s="753"/>
      <c r="DJ38" s="753"/>
      <c r="DK38" s="753"/>
      <c r="DL38" s="753"/>
      <c r="DM38" s="753"/>
      <c r="DN38" s="753"/>
      <c r="DO38" s="753"/>
      <c r="DP38" s="753"/>
    </row>
    <row r="39" spans="1:120" s="43" customFormat="1" ht="12.75" customHeight="1" thickTop="1" x14ac:dyDescent="0.25">
      <c r="A39"/>
      <c r="B39" s="42"/>
      <c r="C39" s="42"/>
      <c r="D39" s="42"/>
      <c r="E39" s="42"/>
      <c r="F39" s="42"/>
      <c r="G39" s="42"/>
      <c r="H39" s="150"/>
      <c r="I39" s="150"/>
      <c r="J39" s="150"/>
      <c r="K39" s="150"/>
      <c r="M39" s="150"/>
      <c r="N39" s="753"/>
      <c r="O39" s="753"/>
      <c r="P39" s="753"/>
      <c r="Q39" s="753"/>
      <c r="R39" s="753"/>
      <c r="S39" s="753"/>
      <c r="T39" s="753"/>
      <c r="U39" s="753"/>
      <c r="V39" s="753"/>
      <c r="W39" s="753"/>
      <c r="X39" s="753"/>
      <c r="Y39" s="753"/>
      <c r="Z39" s="753"/>
      <c r="AA39" s="753"/>
      <c r="AB39" s="753"/>
      <c r="AC39" s="753"/>
      <c r="AD39" s="753"/>
      <c r="AE39" s="753"/>
      <c r="AF39" s="753"/>
      <c r="AG39" s="753"/>
      <c r="AH39" s="753"/>
      <c r="AI39" s="753"/>
      <c r="AJ39" s="753"/>
      <c r="AK39" s="753"/>
      <c r="AL39" s="753"/>
      <c r="AM39" s="753"/>
      <c r="AN39" s="753"/>
      <c r="AO39" s="753"/>
      <c r="AP39" s="753"/>
      <c r="AQ39" s="753"/>
      <c r="AR39" s="753"/>
      <c r="AS39" s="753"/>
      <c r="AT39" s="753"/>
      <c r="AU39" s="753"/>
      <c r="AV39" s="753"/>
      <c r="AW39" s="753"/>
      <c r="AX39" s="753"/>
      <c r="AY39" s="753"/>
      <c r="AZ39" s="753"/>
      <c r="BA39" s="753"/>
      <c r="BB39" s="753"/>
      <c r="BC39" s="753"/>
      <c r="BD39" s="753"/>
      <c r="BE39" s="753"/>
      <c r="BF39" s="753"/>
      <c r="BG39" s="753"/>
      <c r="BH39" s="753"/>
      <c r="BI39" s="753"/>
      <c r="BJ39" s="753"/>
      <c r="BK39" s="753"/>
      <c r="BL39" s="753"/>
      <c r="BM39" s="753"/>
      <c r="BN39" s="753"/>
      <c r="BO39" s="753"/>
      <c r="BP39" s="753"/>
      <c r="BQ39" s="753"/>
      <c r="BR39" s="753"/>
      <c r="BS39" s="753"/>
      <c r="BT39" s="753"/>
      <c r="BU39" s="753"/>
      <c r="BV39" s="753"/>
      <c r="BW39" s="753"/>
      <c r="BX39" s="753"/>
      <c r="BY39" s="753"/>
      <c r="BZ39" s="753"/>
      <c r="CA39" s="753"/>
      <c r="CB39" s="753"/>
      <c r="CC39" s="753"/>
      <c r="CD39" s="753"/>
      <c r="CE39" s="753"/>
      <c r="CF39" s="753"/>
      <c r="CG39" s="753"/>
      <c r="CH39" s="753"/>
      <c r="CI39" s="753"/>
      <c r="CJ39" s="753"/>
      <c r="CK39" s="753"/>
      <c r="CL39" s="753"/>
      <c r="CM39" s="753"/>
      <c r="CN39" s="753"/>
      <c r="CO39" s="753"/>
      <c r="CP39" s="753"/>
      <c r="CQ39" s="753"/>
      <c r="CR39" s="753"/>
      <c r="CS39" s="753"/>
      <c r="CT39" s="753"/>
      <c r="CU39" s="753"/>
      <c r="CV39" s="753"/>
      <c r="CW39" s="753"/>
      <c r="CX39" s="753"/>
      <c r="CY39" s="753"/>
      <c r="CZ39" s="753"/>
      <c r="DA39" s="753"/>
      <c r="DB39" s="753"/>
      <c r="DC39" s="753"/>
      <c r="DD39" s="753"/>
      <c r="DE39" s="753"/>
      <c r="DF39" s="753"/>
      <c r="DG39" s="753"/>
      <c r="DH39" s="753"/>
      <c r="DI39" s="753"/>
      <c r="DJ39" s="753"/>
      <c r="DK39" s="753"/>
      <c r="DL39" s="753"/>
      <c r="DM39" s="753"/>
      <c r="DN39" s="753"/>
      <c r="DO39" s="753"/>
      <c r="DP39" s="753"/>
    </row>
    <row r="40" spans="1:120" s="43" customFormat="1" ht="19.5" customHeight="1" thickBot="1" x14ac:dyDescent="0.3">
      <c r="A40"/>
      <c r="B40" s="42"/>
      <c r="C40" s="53" t="s">
        <v>610</v>
      </c>
      <c r="D40" s="54"/>
      <c r="E40" s="54"/>
      <c r="F40" s="54"/>
      <c r="G40" s="54"/>
      <c r="H40" s="157"/>
      <c r="I40" s="157"/>
      <c r="J40" s="157"/>
      <c r="K40" s="157"/>
      <c r="M40" s="157"/>
      <c r="N40" s="753"/>
      <c r="O40" s="753"/>
      <c r="P40" s="753"/>
      <c r="Q40" s="753"/>
      <c r="R40" s="753"/>
      <c r="S40" s="753"/>
      <c r="T40" s="753"/>
      <c r="U40" s="753"/>
      <c r="V40" s="753"/>
      <c r="W40" s="753"/>
      <c r="X40" s="753"/>
      <c r="Y40" s="753"/>
      <c r="Z40" s="753"/>
      <c r="AA40" s="753"/>
      <c r="AB40" s="753"/>
      <c r="AC40" s="753"/>
      <c r="AD40" s="753"/>
      <c r="AE40" s="753"/>
      <c r="AF40" s="753"/>
      <c r="AG40" s="753"/>
      <c r="AH40" s="753"/>
      <c r="AI40" s="753"/>
      <c r="AJ40" s="753"/>
      <c r="AK40" s="753"/>
      <c r="AL40" s="753"/>
      <c r="AM40" s="753"/>
      <c r="AN40" s="753"/>
      <c r="AO40" s="753"/>
      <c r="AP40" s="753"/>
      <c r="AQ40" s="753"/>
      <c r="AR40" s="753"/>
      <c r="AS40" s="753"/>
      <c r="AT40" s="753"/>
      <c r="AU40" s="753"/>
      <c r="AV40" s="753"/>
      <c r="AW40" s="753"/>
      <c r="AX40" s="753"/>
      <c r="AY40" s="753"/>
      <c r="AZ40" s="753"/>
      <c r="BA40" s="753"/>
      <c r="BB40" s="753"/>
      <c r="BC40" s="753"/>
      <c r="BD40" s="753"/>
      <c r="BE40" s="753"/>
      <c r="BF40" s="753"/>
      <c r="BG40" s="753"/>
      <c r="BH40" s="753"/>
      <c r="BI40" s="753"/>
      <c r="BJ40" s="753"/>
      <c r="BK40" s="753"/>
      <c r="BL40" s="753"/>
      <c r="BM40" s="753"/>
      <c r="BN40" s="753"/>
      <c r="BO40" s="753"/>
      <c r="BP40" s="753"/>
      <c r="BQ40" s="753"/>
      <c r="BR40" s="753"/>
      <c r="BS40" s="753"/>
      <c r="BT40" s="753"/>
      <c r="BU40" s="753"/>
      <c r="BV40" s="753"/>
      <c r="BW40" s="753"/>
      <c r="BX40" s="753"/>
      <c r="BY40" s="753"/>
      <c r="BZ40" s="753"/>
      <c r="CA40" s="753"/>
      <c r="CB40" s="753"/>
      <c r="CC40" s="753"/>
      <c r="CD40" s="753"/>
      <c r="CE40" s="753"/>
      <c r="CF40" s="753"/>
      <c r="CG40" s="753"/>
      <c r="CH40" s="753"/>
      <c r="CI40" s="753"/>
      <c r="CJ40" s="753"/>
      <c r="CK40" s="753"/>
      <c r="CL40" s="753"/>
      <c r="CM40" s="753"/>
      <c r="CN40" s="753"/>
      <c r="CO40" s="753"/>
      <c r="CP40" s="753"/>
      <c r="CQ40" s="753"/>
      <c r="CR40" s="753"/>
      <c r="CS40" s="753"/>
      <c r="CT40" s="753"/>
      <c r="CU40" s="753"/>
      <c r="CV40" s="753"/>
      <c r="CW40" s="753"/>
      <c r="CX40" s="753"/>
      <c r="CY40" s="753"/>
      <c r="CZ40" s="753"/>
      <c r="DA40" s="753"/>
      <c r="DB40" s="753"/>
      <c r="DC40" s="753"/>
      <c r="DD40" s="753"/>
      <c r="DE40" s="753"/>
      <c r="DF40" s="753"/>
      <c r="DG40" s="753"/>
      <c r="DH40" s="753"/>
      <c r="DI40" s="753"/>
      <c r="DJ40" s="753"/>
      <c r="DK40" s="753"/>
      <c r="DL40" s="753"/>
      <c r="DM40" s="753"/>
      <c r="DN40" s="753"/>
      <c r="DO40" s="753"/>
      <c r="DP40" s="753"/>
    </row>
    <row r="41" spans="1:120" s="43" customFormat="1" ht="9" customHeight="1" x14ac:dyDescent="0.25">
      <c r="A41"/>
      <c r="B41" s="42"/>
      <c r="C41" s="42"/>
      <c r="D41" s="42"/>
      <c r="E41" s="42"/>
      <c r="F41" s="42"/>
      <c r="G41" s="42"/>
      <c r="H41" s="150"/>
      <c r="I41" s="150"/>
      <c r="J41" s="150"/>
      <c r="K41" s="150"/>
      <c r="M41" s="150"/>
      <c r="N41" s="753"/>
      <c r="O41" s="753"/>
      <c r="P41" s="753"/>
      <c r="Q41" s="753"/>
      <c r="R41" s="753"/>
      <c r="S41" s="753"/>
      <c r="T41" s="753"/>
      <c r="U41" s="753"/>
      <c r="V41" s="753"/>
      <c r="W41" s="753"/>
      <c r="X41" s="753"/>
      <c r="Y41" s="753"/>
      <c r="Z41" s="753"/>
      <c r="AA41" s="753"/>
      <c r="AB41" s="753"/>
      <c r="AC41" s="753"/>
      <c r="AD41" s="753"/>
      <c r="AE41" s="753"/>
      <c r="AF41" s="753"/>
      <c r="AG41" s="753"/>
      <c r="AH41" s="753"/>
      <c r="AI41" s="753"/>
      <c r="AJ41" s="753"/>
      <c r="AK41" s="753"/>
      <c r="AL41" s="753"/>
      <c r="AM41" s="753"/>
      <c r="AN41" s="753"/>
      <c r="AO41" s="753"/>
      <c r="AP41" s="753"/>
      <c r="AQ41" s="753"/>
      <c r="AR41" s="753"/>
      <c r="AS41" s="753"/>
      <c r="AT41" s="753"/>
      <c r="AU41" s="753"/>
      <c r="AV41" s="753"/>
      <c r="AW41" s="753"/>
      <c r="AX41" s="753"/>
      <c r="AY41" s="753"/>
      <c r="AZ41" s="753"/>
      <c r="BA41" s="753"/>
      <c r="BB41" s="753"/>
      <c r="BC41" s="753"/>
      <c r="BD41" s="753"/>
      <c r="BE41" s="753"/>
      <c r="BF41" s="753"/>
      <c r="BG41" s="753"/>
      <c r="BH41" s="753"/>
      <c r="BI41" s="753"/>
      <c r="BJ41" s="753"/>
      <c r="BK41" s="753"/>
      <c r="BL41" s="753"/>
      <c r="BM41" s="753"/>
      <c r="BN41" s="753"/>
      <c r="BO41" s="753"/>
      <c r="BP41" s="753"/>
      <c r="BQ41" s="753"/>
      <c r="BR41" s="753"/>
      <c r="BS41" s="753"/>
      <c r="BT41" s="753"/>
      <c r="BU41" s="753"/>
      <c r="BV41" s="753"/>
      <c r="BW41" s="753"/>
      <c r="BX41" s="753"/>
      <c r="BY41" s="753"/>
      <c r="BZ41" s="753"/>
      <c r="CA41" s="753"/>
      <c r="CB41" s="753"/>
      <c r="CC41" s="753"/>
      <c r="CD41" s="753"/>
      <c r="CE41" s="753"/>
      <c r="CF41" s="753"/>
      <c r="CG41" s="753"/>
      <c r="CH41" s="753"/>
      <c r="CI41" s="753"/>
      <c r="CJ41" s="753"/>
      <c r="CK41" s="753"/>
      <c r="CL41" s="753"/>
      <c r="CM41" s="753"/>
      <c r="CN41" s="753"/>
      <c r="CO41" s="753"/>
      <c r="CP41" s="753"/>
      <c r="CQ41" s="753"/>
      <c r="CR41" s="753"/>
      <c r="CS41" s="753"/>
      <c r="CT41" s="753"/>
      <c r="CU41" s="753"/>
      <c r="CV41" s="753"/>
      <c r="CW41" s="753"/>
      <c r="CX41" s="753"/>
      <c r="CY41" s="753"/>
      <c r="CZ41" s="753"/>
      <c r="DA41" s="753"/>
      <c r="DB41" s="753"/>
      <c r="DC41" s="753"/>
      <c r="DD41" s="753"/>
      <c r="DE41" s="753"/>
      <c r="DF41" s="753"/>
      <c r="DG41" s="753"/>
      <c r="DH41" s="753"/>
      <c r="DI41" s="753"/>
      <c r="DJ41" s="753"/>
      <c r="DK41" s="753"/>
      <c r="DL41" s="753"/>
      <c r="DM41" s="753"/>
      <c r="DN41" s="753"/>
      <c r="DO41" s="753"/>
      <c r="DP41" s="753"/>
    </row>
    <row r="42" spans="1:120" ht="21" thickBot="1" x14ac:dyDescent="0.35">
      <c r="B42" s="44"/>
      <c r="C42" s="97" t="s">
        <v>611</v>
      </c>
      <c r="D42" s="98"/>
      <c r="E42" s="97"/>
      <c r="F42" s="97"/>
      <c r="G42" s="97"/>
      <c r="H42" s="174"/>
      <c r="I42" s="151"/>
      <c r="J42" s="174"/>
      <c r="K42" s="151"/>
      <c r="M42" s="151"/>
      <c r="N42" s="753"/>
      <c r="U42" s="753"/>
      <c r="V42" s="753"/>
      <c r="W42" s="753"/>
      <c r="X42" s="753"/>
      <c r="Y42" s="753"/>
      <c r="Z42" s="753"/>
      <c r="AA42" s="753"/>
      <c r="AB42" s="753"/>
      <c r="AC42" s="753"/>
      <c r="AD42" s="753"/>
      <c r="AE42" s="753"/>
      <c r="AF42" s="753"/>
      <c r="AG42" s="753"/>
      <c r="AH42" s="753"/>
      <c r="AI42" s="753"/>
      <c r="AJ42" s="753"/>
      <c r="AK42" s="753"/>
      <c r="AL42" s="753"/>
      <c r="AM42" s="753"/>
      <c r="AN42" s="753"/>
      <c r="AO42" s="753"/>
      <c r="AP42" s="753"/>
      <c r="AQ42" s="753"/>
      <c r="AR42" s="753"/>
      <c r="AS42" s="753"/>
      <c r="AT42" s="753"/>
      <c r="AU42" s="753"/>
      <c r="AV42" s="753"/>
      <c r="AW42" s="753"/>
      <c r="AX42" s="753"/>
      <c r="AY42" s="753"/>
      <c r="AZ42" s="753"/>
      <c r="BA42" s="753"/>
      <c r="BB42" s="753"/>
      <c r="BC42" s="753"/>
      <c r="BD42" s="753"/>
      <c r="BE42" s="753"/>
      <c r="BF42" s="753"/>
      <c r="BG42" s="753"/>
      <c r="BH42" s="753"/>
      <c r="BI42" s="753"/>
      <c r="BJ42" s="753"/>
      <c r="BK42" s="753"/>
      <c r="BL42" s="753"/>
      <c r="BM42" s="753"/>
      <c r="BN42" s="753"/>
      <c r="BO42" s="753"/>
      <c r="BP42" s="753"/>
      <c r="BQ42" s="753"/>
      <c r="BR42" s="753"/>
      <c r="BS42" s="753"/>
      <c r="BT42" s="753"/>
      <c r="BU42" s="753"/>
      <c r="BV42" s="753"/>
      <c r="BW42" s="753"/>
      <c r="BX42" s="753"/>
      <c r="BY42" s="753"/>
      <c r="BZ42" s="753"/>
      <c r="CA42" s="753"/>
      <c r="CB42" s="753"/>
      <c r="CC42" s="753"/>
      <c r="CD42" s="753"/>
      <c r="CE42" s="753"/>
      <c r="CF42" s="753"/>
      <c r="CG42" s="753"/>
      <c r="CH42" s="753"/>
      <c r="CI42" s="753"/>
      <c r="CJ42" s="753"/>
      <c r="CK42" s="753"/>
      <c r="CL42" s="753"/>
      <c r="CM42" s="753"/>
      <c r="CN42" s="753"/>
      <c r="CO42" s="753"/>
      <c r="CP42" s="753"/>
      <c r="CQ42" s="753"/>
      <c r="CR42" s="753"/>
      <c r="CS42" s="753"/>
      <c r="CT42" s="753"/>
      <c r="CU42" s="753"/>
      <c r="CV42" s="753"/>
      <c r="CW42" s="753"/>
      <c r="CX42" s="753"/>
      <c r="CY42" s="753"/>
      <c r="CZ42" s="753"/>
      <c r="DA42" s="753"/>
      <c r="DB42" s="753"/>
      <c r="DC42" s="753"/>
      <c r="DD42" s="753"/>
      <c r="DE42" s="753"/>
      <c r="DF42" s="753"/>
      <c r="DG42" s="753"/>
      <c r="DH42" s="753"/>
      <c r="DI42" s="753"/>
      <c r="DJ42" s="753"/>
      <c r="DK42" s="753"/>
      <c r="DL42" s="753"/>
      <c r="DM42" s="753"/>
      <c r="DN42" s="753"/>
      <c r="DO42" s="753"/>
      <c r="DP42" s="753"/>
    </row>
    <row r="43" spans="1:120" s="43" customFormat="1" ht="20.25" x14ac:dyDescent="0.25">
      <c r="A43"/>
      <c r="B43" s="46"/>
      <c r="C43" s="46"/>
      <c r="D43" s="46"/>
      <c r="E43" s="46" t="s">
        <v>612</v>
      </c>
      <c r="G43" s="46"/>
      <c r="H43" s="159"/>
      <c r="I43" s="159">
        <v>16749.95</v>
      </c>
      <c r="J43" s="159"/>
      <c r="K43" s="159">
        <v>16109.83</v>
      </c>
      <c r="L43" s="261"/>
      <c r="M43" s="159">
        <v>29573.77</v>
      </c>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3"/>
      <c r="AL43" s="753"/>
      <c r="AM43" s="753"/>
      <c r="AN43" s="753"/>
      <c r="AO43" s="753"/>
      <c r="AP43" s="753"/>
      <c r="AQ43" s="753"/>
      <c r="AR43" s="753"/>
      <c r="AS43" s="753"/>
      <c r="AT43" s="753"/>
      <c r="AU43" s="753"/>
      <c r="AV43" s="753"/>
      <c r="AW43" s="753"/>
      <c r="AX43" s="753"/>
      <c r="AY43" s="753"/>
      <c r="AZ43" s="753"/>
      <c r="BA43" s="753"/>
      <c r="BB43" s="753"/>
      <c r="BC43" s="753"/>
      <c r="BD43" s="753"/>
      <c r="BE43" s="753"/>
      <c r="BF43" s="753"/>
      <c r="BG43" s="753"/>
      <c r="BH43" s="753"/>
      <c r="BI43" s="753"/>
      <c r="BJ43" s="753"/>
      <c r="BK43" s="753"/>
      <c r="BL43" s="753"/>
      <c r="BM43" s="753"/>
      <c r="BN43" s="753"/>
      <c r="BO43" s="753"/>
      <c r="BP43" s="753"/>
      <c r="BQ43" s="753"/>
      <c r="BR43" s="753"/>
      <c r="BS43" s="753"/>
      <c r="BT43" s="753"/>
      <c r="BU43" s="753"/>
      <c r="BV43" s="753"/>
      <c r="BW43" s="753"/>
      <c r="BX43" s="753"/>
      <c r="BY43" s="753"/>
      <c r="BZ43" s="753"/>
      <c r="CA43" s="753"/>
      <c r="CB43" s="753"/>
      <c r="CC43" s="753"/>
      <c r="CD43" s="753"/>
      <c r="CE43" s="753"/>
      <c r="CF43" s="753"/>
      <c r="CG43" s="753"/>
      <c r="CH43" s="753"/>
      <c r="CI43" s="753"/>
      <c r="CJ43" s="753"/>
      <c r="CK43" s="753"/>
      <c r="CL43" s="753"/>
      <c r="CM43" s="753"/>
      <c r="CN43" s="753"/>
      <c r="CO43" s="753"/>
      <c r="CP43" s="753"/>
      <c r="CQ43" s="753"/>
      <c r="CR43" s="753"/>
      <c r="CS43" s="753"/>
      <c r="CT43" s="753"/>
      <c r="CU43" s="753"/>
      <c r="CV43" s="753"/>
      <c r="CW43" s="753"/>
      <c r="CX43" s="753"/>
      <c r="CY43" s="753"/>
      <c r="CZ43" s="753"/>
      <c r="DA43" s="753"/>
      <c r="DB43" s="753"/>
      <c r="DC43" s="753"/>
      <c r="DD43" s="753"/>
      <c r="DE43" s="753"/>
      <c r="DF43" s="753"/>
      <c r="DG43" s="753"/>
      <c r="DH43" s="753"/>
      <c r="DI43" s="753"/>
      <c r="DJ43" s="753"/>
      <c r="DK43" s="753"/>
      <c r="DL43" s="753"/>
      <c r="DM43" s="753"/>
      <c r="DN43" s="753"/>
      <c r="DO43" s="753"/>
      <c r="DP43" s="753"/>
    </row>
    <row r="44" spans="1:120" s="43" customFormat="1" ht="20.25" x14ac:dyDescent="0.25">
      <c r="A44"/>
      <c r="B44" s="46"/>
      <c r="C44" s="46"/>
      <c r="D44" s="46"/>
      <c r="E44" s="46" t="s">
        <v>613</v>
      </c>
      <c r="G44" s="46"/>
      <c r="H44" s="150"/>
      <c r="I44" s="150">
        <v>-379.94</v>
      </c>
      <c r="J44" s="150"/>
      <c r="K44" s="150">
        <v>274</v>
      </c>
      <c r="M44" s="150">
        <v>660</v>
      </c>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3"/>
      <c r="AL44" s="753"/>
      <c r="AM44" s="753"/>
      <c r="AN44" s="753"/>
      <c r="AO44" s="753"/>
      <c r="AP44" s="753"/>
      <c r="AQ44" s="753"/>
      <c r="AR44" s="753"/>
      <c r="AS44" s="753"/>
      <c r="AT44" s="753"/>
      <c r="AU44" s="753"/>
      <c r="AV44" s="753"/>
      <c r="AW44" s="753"/>
      <c r="AX44" s="753"/>
      <c r="AY44" s="753"/>
      <c r="AZ44" s="753"/>
      <c r="BA44" s="753"/>
      <c r="BB44" s="753"/>
      <c r="BC44" s="753"/>
      <c r="BD44" s="753"/>
      <c r="BE44" s="753"/>
      <c r="BF44" s="753"/>
      <c r="BG44" s="753"/>
      <c r="BH44" s="753"/>
      <c r="BI44" s="753"/>
      <c r="BJ44" s="753"/>
      <c r="BK44" s="753"/>
      <c r="BL44" s="753"/>
      <c r="BM44" s="753"/>
      <c r="BN44" s="753"/>
      <c r="BO44" s="753"/>
      <c r="BP44" s="753"/>
      <c r="BQ44" s="753"/>
      <c r="BR44" s="753"/>
      <c r="BS44" s="753"/>
      <c r="BT44" s="753"/>
      <c r="BU44" s="753"/>
      <c r="BV44" s="753"/>
      <c r="BW44" s="753"/>
      <c r="BX44" s="753"/>
      <c r="BY44" s="753"/>
      <c r="BZ44" s="753"/>
      <c r="CA44" s="753"/>
      <c r="CB44" s="753"/>
      <c r="CC44" s="753"/>
      <c r="CD44" s="753"/>
      <c r="CE44" s="753"/>
      <c r="CF44" s="753"/>
      <c r="CG44" s="753"/>
      <c r="CH44" s="753"/>
      <c r="CI44" s="753"/>
      <c r="CJ44" s="753"/>
      <c r="CK44" s="753"/>
      <c r="CL44" s="753"/>
      <c r="CM44" s="753"/>
      <c r="CN44" s="753"/>
      <c r="CO44" s="753"/>
      <c r="CP44" s="753"/>
      <c r="CQ44" s="753"/>
      <c r="CR44" s="753"/>
      <c r="CS44" s="753"/>
      <c r="CT44" s="753"/>
      <c r="CU44" s="753"/>
      <c r="CV44" s="753"/>
      <c r="CW44" s="753"/>
      <c r="CX44" s="753"/>
      <c r="CY44" s="753"/>
      <c r="CZ44" s="753"/>
      <c r="DA44" s="753"/>
      <c r="DB44" s="753"/>
      <c r="DC44" s="753"/>
      <c r="DD44" s="753"/>
      <c r="DE44" s="753"/>
      <c r="DF44" s="753"/>
      <c r="DG44" s="753"/>
      <c r="DH44" s="753"/>
      <c r="DI44" s="753"/>
      <c r="DJ44" s="753"/>
      <c r="DK44" s="753"/>
      <c r="DL44" s="753"/>
      <c r="DM44" s="753"/>
      <c r="DN44" s="753"/>
      <c r="DO44" s="753"/>
      <c r="DP44" s="753"/>
    </row>
    <row r="45" spans="1:120" s="43" customFormat="1" ht="20.25" hidden="1" x14ac:dyDescent="0.25">
      <c r="A45"/>
      <c r="B45" s="46"/>
      <c r="C45" s="46"/>
      <c r="D45" s="46"/>
      <c r="E45" s="46" t="s">
        <v>614</v>
      </c>
      <c r="G45" s="46"/>
      <c r="H45" s="150"/>
      <c r="I45" s="150">
        <v>0</v>
      </c>
      <c r="J45" s="150"/>
      <c r="K45" s="150">
        <v>0</v>
      </c>
      <c r="M45" s="150"/>
      <c r="N45" s="753"/>
      <c r="O45" s="753"/>
      <c r="P45" s="753"/>
      <c r="Q45" s="753"/>
      <c r="R45" s="753"/>
      <c r="S45" s="753"/>
      <c r="T45" s="753"/>
      <c r="U45" s="753"/>
      <c r="V45" s="753"/>
      <c r="W45" s="753"/>
      <c r="X45" s="753"/>
      <c r="Y45" s="753"/>
      <c r="Z45" s="753"/>
      <c r="AA45" s="753"/>
      <c r="AB45" s="753"/>
      <c r="AC45" s="753"/>
      <c r="AD45" s="753"/>
      <c r="AE45" s="753"/>
      <c r="AF45" s="753"/>
      <c r="AG45" s="753"/>
      <c r="AH45" s="753"/>
      <c r="AI45" s="753"/>
      <c r="AJ45" s="753"/>
      <c r="AK45" s="753"/>
      <c r="AL45" s="753"/>
      <c r="AM45" s="753"/>
      <c r="AN45" s="753"/>
      <c r="AO45" s="753"/>
      <c r="AP45" s="753"/>
      <c r="AQ45" s="753"/>
      <c r="AR45" s="753"/>
      <c r="AS45" s="753"/>
      <c r="AT45" s="753"/>
      <c r="AU45" s="753"/>
      <c r="AV45" s="753"/>
      <c r="AW45" s="753"/>
      <c r="AX45" s="753"/>
      <c r="AY45" s="753"/>
      <c r="AZ45" s="753"/>
      <c r="BA45" s="753"/>
      <c r="BB45" s="753"/>
      <c r="BC45" s="753"/>
      <c r="BD45" s="753"/>
      <c r="BE45" s="753"/>
      <c r="BF45" s="753"/>
      <c r="BG45" s="753"/>
      <c r="BH45" s="753"/>
      <c r="BI45" s="753"/>
      <c r="BJ45" s="753"/>
      <c r="BK45" s="753"/>
      <c r="BL45" s="753"/>
      <c r="BM45" s="753"/>
      <c r="BN45" s="753"/>
      <c r="BO45" s="753"/>
      <c r="BP45" s="753"/>
      <c r="BQ45" s="753"/>
      <c r="BR45" s="753"/>
      <c r="BS45" s="753"/>
      <c r="BT45" s="753"/>
      <c r="BU45" s="753"/>
      <c r="BV45" s="753"/>
      <c r="BW45" s="753"/>
      <c r="BX45" s="753"/>
      <c r="BY45" s="753"/>
      <c r="BZ45" s="753"/>
      <c r="CA45" s="753"/>
      <c r="CB45" s="753"/>
      <c r="CC45" s="753"/>
      <c r="CD45" s="753"/>
      <c r="CE45" s="753"/>
      <c r="CF45" s="753"/>
      <c r="CG45" s="753"/>
      <c r="CH45" s="753"/>
      <c r="CI45" s="753"/>
      <c r="CJ45" s="753"/>
      <c r="CK45" s="753"/>
      <c r="CL45" s="753"/>
      <c r="CM45" s="753"/>
      <c r="CN45" s="753"/>
      <c r="CO45" s="753"/>
      <c r="CP45" s="753"/>
      <c r="CQ45" s="753"/>
      <c r="CR45" s="753"/>
      <c r="CS45" s="753"/>
      <c r="CT45" s="753"/>
      <c r="CU45" s="753"/>
      <c r="CV45" s="753"/>
      <c r="CW45" s="753"/>
      <c r="CX45" s="753"/>
      <c r="CY45" s="753"/>
      <c r="CZ45" s="753"/>
      <c r="DA45" s="753"/>
      <c r="DB45" s="753"/>
      <c r="DC45" s="753"/>
      <c r="DD45" s="753"/>
      <c r="DE45" s="753"/>
      <c r="DF45" s="753"/>
      <c r="DG45" s="753"/>
      <c r="DH45" s="753"/>
      <c r="DI45" s="753"/>
      <c r="DJ45" s="753"/>
      <c r="DK45" s="753"/>
      <c r="DL45" s="753"/>
      <c r="DM45" s="753"/>
      <c r="DN45" s="753"/>
      <c r="DO45" s="753"/>
      <c r="DP45" s="753"/>
    </row>
    <row r="46" spans="1:120" s="43" customFormat="1" ht="20.25" x14ac:dyDescent="0.25">
      <c r="A46"/>
      <c r="B46" s="46"/>
      <c r="C46" s="46"/>
      <c r="D46" s="46"/>
      <c r="E46" s="814" t="s">
        <v>615</v>
      </c>
      <c r="F46" s="814"/>
      <c r="G46" s="814"/>
      <c r="H46" s="150"/>
      <c r="I46" s="150">
        <f>26699.72+27521</f>
        <v>54220.72</v>
      </c>
      <c r="J46" s="150"/>
      <c r="K46" s="150">
        <f>70967.52+8669</f>
        <v>79636.52</v>
      </c>
      <c r="M46" s="150">
        <v>92114.5</v>
      </c>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753"/>
      <c r="AN46" s="753"/>
      <c r="AO46" s="753"/>
      <c r="AP46" s="753"/>
      <c r="AQ46" s="753"/>
      <c r="AR46" s="753"/>
      <c r="AS46" s="753"/>
      <c r="AT46" s="753"/>
      <c r="AU46" s="753"/>
      <c r="AV46" s="753"/>
      <c r="AW46" s="753"/>
      <c r="AX46" s="753"/>
      <c r="AY46" s="753"/>
      <c r="AZ46" s="753"/>
      <c r="BA46" s="753"/>
      <c r="BB46" s="753"/>
      <c r="BC46" s="753"/>
      <c r="BD46" s="753"/>
      <c r="BE46" s="753"/>
      <c r="BF46" s="753"/>
      <c r="BG46" s="753"/>
      <c r="BH46" s="753"/>
      <c r="BI46" s="753"/>
      <c r="BJ46" s="753"/>
      <c r="BK46" s="753"/>
      <c r="BL46" s="753"/>
      <c r="BM46" s="753"/>
      <c r="BN46" s="753"/>
      <c r="BO46" s="753"/>
      <c r="BP46" s="753"/>
      <c r="BQ46" s="753"/>
      <c r="BR46" s="753"/>
      <c r="BS46" s="753"/>
      <c r="BT46" s="753"/>
      <c r="BU46" s="753"/>
      <c r="BV46" s="753"/>
      <c r="BW46" s="753"/>
      <c r="BX46" s="753"/>
      <c r="BY46" s="753"/>
      <c r="BZ46" s="753"/>
      <c r="CA46" s="753"/>
      <c r="CB46" s="753"/>
      <c r="CC46" s="753"/>
      <c r="CD46" s="753"/>
      <c r="CE46" s="753"/>
      <c r="CF46" s="753"/>
      <c r="CG46" s="753"/>
      <c r="CH46" s="753"/>
      <c r="CI46" s="753"/>
      <c r="CJ46" s="753"/>
      <c r="CK46" s="753"/>
      <c r="CL46" s="753"/>
      <c r="CM46" s="753"/>
      <c r="CN46" s="753"/>
      <c r="CO46" s="753"/>
      <c r="CP46" s="753"/>
      <c r="CQ46" s="753"/>
      <c r="CR46" s="753"/>
      <c r="CS46" s="753"/>
      <c r="CT46" s="753"/>
      <c r="CU46" s="753"/>
      <c r="CV46" s="753"/>
      <c r="CW46" s="753"/>
      <c r="CX46" s="753"/>
      <c r="CY46" s="753"/>
      <c r="CZ46" s="753"/>
      <c r="DA46" s="753"/>
      <c r="DB46" s="753"/>
      <c r="DC46" s="753"/>
      <c r="DD46" s="753"/>
      <c r="DE46" s="753"/>
      <c r="DF46" s="753"/>
      <c r="DG46" s="753"/>
      <c r="DH46" s="753"/>
      <c r="DI46" s="753"/>
      <c r="DJ46" s="753"/>
      <c r="DK46" s="753"/>
      <c r="DL46" s="753"/>
      <c r="DM46" s="753"/>
      <c r="DN46" s="753"/>
      <c r="DO46" s="753"/>
      <c r="DP46" s="753"/>
    </row>
    <row r="47" spans="1:120" s="43" customFormat="1" ht="20.25" x14ac:dyDescent="0.25">
      <c r="A47"/>
      <c r="B47" s="46"/>
      <c r="C47" s="46"/>
      <c r="D47" s="46"/>
      <c r="E47" s="46" t="s">
        <v>616</v>
      </c>
      <c r="G47" s="46"/>
      <c r="H47" s="150"/>
      <c r="I47" s="150"/>
      <c r="J47" s="150"/>
      <c r="K47" s="150">
        <v>-31</v>
      </c>
      <c r="M47" s="150">
        <f>2535.29-1675.7-137+8669</f>
        <v>9391.59</v>
      </c>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753"/>
      <c r="AM47" s="753"/>
      <c r="AN47" s="753"/>
      <c r="AO47" s="753"/>
      <c r="AP47" s="753"/>
      <c r="AQ47" s="753"/>
      <c r="AR47" s="753"/>
      <c r="AS47" s="753"/>
      <c r="AT47" s="753"/>
      <c r="AU47" s="753"/>
      <c r="AV47" s="753"/>
      <c r="AW47" s="753"/>
      <c r="AX47" s="753"/>
      <c r="AY47" s="753"/>
      <c r="AZ47" s="753"/>
      <c r="BA47" s="753"/>
      <c r="BB47" s="753"/>
      <c r="BC47" s="753"/>
      <c r="BD47" s="753"/>
      <c r="BE47" s="753"/>
      <c r="BF47" s="753"/>
      <c r="BG47" s="753"/>
      <c r="BH47" s="753"/>
      <c r="BI47" s="753"/>
      <c r="BJ47" s="753"/>
      <c r="BK47" s="753"/>
      <c r="BL47" s="753"/>
      <c r="BM47" s="753"/>
      <c r="BN47" s="753"/>
      <c r="BO47" s="753"/>
      <c r="BP47" s="753"/>
      <c r="BQ47" s="753"/>
      <c r="BR47" s="753"/>
      <c r="BS47" s="753"/>
      <c r="BT47" s="753"/>
      <c r="BU47" s="753"/>
      <c r="BV47" s="753"/>
      <c r="BW47" s="753"/>
      <c r="BX47" s="753"/>
      <c r="BY47" s="753"/>
      <c r="BZ47" s="753"/>
      <c r="CA47" s="753"/>
      <c r="CB47" s="753"/>
      <c r="CC47" s="753"/>
      <c r="CD47" s="753"/>
      <c r="CE47" s="753"/>
      <c r="CF47" s="753"/>
      <c r="CG47" s="753"/>
      <c r="CH47" s="753"/>
      <c r="CI47" s="753"/>
      <c r="CJ47" s="753"/>
      <c r="CK47" s="753"/>
      <c r="CL47" s="753"/>
      <c r="CM47" s="753"/>
      <c r="CN47" s="753"/>
      <c r="CO47" s="753"/>
      <c r="CP47" s="753"/>
      <c r="CQ47" s="753"/>
      <c r="CR47" s="753"/>
      <c r="CS47" s="753"/>
      <c r="CT47" s="753"/>
      <c r="CU47" s="753"/>
      <c r="CV47" s="753"/>
      <c r="CW47" s="753"/>
      <c r="CX47" s="753"/>
      <c r="CY47" s="753"/>
      <c r="CZ47" s="753"/>
      <c r="DA47" s="753"/>
      <c r="DB47" s="753"/>
      <c r="DC47" s="753"/>
      <c r="DD47" s="753"/>
      <c r="DE47" s="753"/>
      <c r="DF47" s="753"/>
      <c r="DG47" s="753"/>
      <c r="DH47" s="753"/>
      <c r="DI47" s="753"/>
      <c r="DJ47" s="753"/>
      <c r="DK47" s="753"/>
      <c r="DL47" s="753"/>
      <c r="DM47" s="753"/>
      <c r="DN47" s="753"/>
      <c r="DO47" s="753"/>
      <c r="DP47" s="753"/>
    </row>
    <row r="48" spans="1:120" s="43" customFormat="1" ht="20.25" hidden="1" x14ac:dyDescent="0.25">
      <c r="A48"/>
      <c r="B48" s="46"/>
      <c r="C48" s="46"/>
      <c r="D48" s="46"/>
      <c r="E48" s="46" t="s">
        <v>617</v>
      </c>
      <c r="G48" s="46"/>
      <c r="H48" s="150"/>
      <c r="I48" s="150">
        <v>0</v>
      </c>
      <c r="J48" s="150"/>
      <c r="K48" s="150">
        <v>0</v>
      </c>
      <c r="M48" s="150">
        <v>0</v>
      </c>
      <c r="N48" s="753"/>
      <c r="O48" s="753"/>
      <c r="P48" s="753"/>
      <c r="Q48" s="753"/>
      <c r="R48" s="753"/>
      <c r="S48" s="753"/>
      <c r="T48" s="753"/>
      <c r="U48" s="753"/>
      <c r="V48" s="753"/>
      <c r="W48" s="753"/>
      <c r="X48" s="753"/>
      <c r="Y48" s="753"/>
      <c r="Z48" s="753"/>
      <c r="AA48" s="753"/>
      <c r="AB48" s="753"/>
      <c r="AC48" s="753"/>
      <c r="AD48" s="753"/>
      <c r="AE48" s="753"/>
      <c r="AF48" s="753"/>
      <c r="AG48" s="753"/>
      <c r="AH48" s="753"/>
      <c r="AI48" s="753"/>
      <c r="AJ48" s="753"/>
      <c r="AK48" s="753"/>
      <c r="AL48" s="753"/>
      <c r="AM48" s="753"/>
      <c r="AN48" s="753"/>
      <c r="AO48" s="753"/>
      <c r="AP48" s="753"/>
      <c r="AQ48" s="753"/>
      <c r="AR48" s="753"/>
      <c r="AS48" s="753"/>
      <c r="AT48" s="753"/>
      <c r="AU48" s="753"/>
      <c r="AV48" s="753"/>
      <c r="AW48" s="753"/>
      <c r="AX48" s="753"/>
      <c r="AY48" s="753"/>
      <c r="AZ48" s="753"/>
      <c r="BA48" s="753"/>
      <c r="BB48" s="753"/>
      <c r="BC48" s="753"/>
      <c r="BD48" s="753"/>
      <c r="BE48" s="753"/>
      <c r="BF48" s="753"/>
      <c r="BG48" s="753"/>
      <c r="BH48" s="753"/>
      <c r="BI48" s="753"/>
      <c r="BJ48" s="753"/>
      <c r="BK48" s="753"/>
      <c r="BL48" s="753"/>
      <c r="BM48" s="753"/>
      <c r="BN48" s="753"/>
      <c r="BO48" s="753"/>
      <c r="BP48" s="753"/>
      <c r="BQ48" s="753"/>
      <c r="BR48" s="753"/>
      <c r="BS48" s="753"/>
      <c r="BT48" s="753"/>
      <c r="BU48" s="753"/>
      <c r="BV48" s="753"/>
      <c r="BW48" s="753"/>
      <c r="BX48" s="753"/>
      <c r="BY48" s="753"/>
      <c r="BZ48" s="753"/>
      <c r="CA48" s="753"/>
      <c r="CB48" s="753"/>
      <c r="CC48" s="753"/>
      <c r="CD48" s="753"/>
      <c r="CE48" s="753"/>
      <c r="CF48" s="753"/>
      <c r="CG48" s="753"/>
      <c r="CH48" s="753"/>
      <c r="CI48" s="753"/>
      <c r="CJ48" s="753"/>
      <c r="CK48" s="753"/>
      <c r="CL48" s="753"/>
      <c r="CM48" s="753"/>
      <c r="CN48" s="753"/>
      <c r="CO48" s="753"/>
      <c r="CP48" s="753"/>
      <c r="CQ48" s="753"/>
      <c r="CR48" s="753"/>
      <c r="CS48" s="753"/>
      <c r="CT48" s="753"/>
      <c r="CU48" s="753"/>
      <c r="CV48" s="753"/>
      <c r="CW48" s="753"/>
      <c r="CX48" s="753"/>
      <c r="CY48" s="753"/>
      <c r="CZ48" s="753"/>
      <c r="DA48" s="753"/>
      <c r="DB48" s="753"/>
      <c r="DC48" s="753"/>
      <c r="DD48" s="753"/>
      <c r="DE48" s="753"/>
      <c r="DF48" s="753"/>
      <c r="DG48" s="753"/>
      <c r="DH48" s="753"/>
      <c r="DI48" s="753"/>
      <c r="DJ48" s="753"/>
      <c r="DK48" s="753"/>
      <c r="DL48" s="753"/>
      <c r="DM48" s="753"/>
      <c r="DN48" s="753"/>
      <c r="DO48" s="753"/>
      <c r="DP48" s="753"/>
    </row>
    <row r="49" spans="1:120" s="43" customFormat="1" ht="20.25" x14ac:dyDescent="0.25">
      <c r="A49"/>
      <c r="B49" s="46"/>
      <c r="C49" s="46"/>
      <c r="D49" s="46"/>
      <c r="E49" s="47" t="s">
        <v>618</v>
      </c>
      <c r="F49" s="96"/>
      <c r="G49" s="47"/>
      <c r="H49" s="150"/>
      <c r="I49" s="150">
        <v>73177.600000000006</v>
      </c>
      <c r="J49" s="150"/>
      <c r="K49" s="150">
        <v>140531.81</v>
      </c>
      <c r="L49" s="161"/>
      <c r="M49" s="150">
        <v>217213.68</v>
      </c>
      <c r="N49" s="753"/>
      <c r="O49" s="753"/>
      <c r="P49" s="753"/>
      <c r="Q49" s="753"/>
      <c r="R49" s="753"/>
      <c r="S49" s="753"/>
      <c r="T49" s="753"/>
      <c r="U49" s="753"/>
      <c r="V49" s="753"/>
      <c r="W49" s="753"/>
      <c r="X49" s="753"/>
      <c r="Y49" s="753"/>
      <c r="Z49" s="753"/>
      <c r="AA49" s="753"/>
      <c r="AB49" s="753"/>
      <c r="AC49" s="753"/>
      <c r="AD49" s="753"/>
      <c r="AE49" s="753"/>
      <c r="AF49" s="753"/>
      <c r="AG49" s="753"/>
      <c r="AH49" s="753"/>
      <c r="AI49" s="753"/>
      <c r="AJ49" s="753"/>
      <c r="AK49" s="753"/>
      <c r="AL49" s="753"/>
      <c r="AM49" s="753"/>
      <c r="AN49" s="753"/>
      <c r="AO49" s="753"/>
      <c r="AP49" s="753"/>
      <c r="AQ49" s="753"/>
      <c r="AR49" s="753"/>
      <c r="AS49" s="753"/>
      <c r="AT49" s="753"/>
      <c r="AU49" s="753"/>
      <c r="AV49" s="753"/>
      <c r="AW49" s="753"/>
      <c r="AX49" s="753"/>
      <c r="AY49" s="753"/>
      <c r="AZ49" s="753"/>
      <c r="BA49" s="753"/>
      <c r="BB49" s="753"/>
      <c r="BC49" s="753"/>
      <c r="BD49" s="753"/>
      <c r="BE49" s="753"/>
      <c r="BF49" s="753"/>
      <c r="BG49" s="753"/>
      <c r="BH49" s="753"/>
      <c r="BI49" s="753"/>
      <c r="BJ49" s="753"/>
      <c r="BK49" s="753"/>
      <c r="BL49" s="753"/>
      <c r="BM49" s="753"/>
      <c r="BN49" s="753"/>
      <c r="BO49" s="753"/>
      <c r="BP49" s="753"/>
      <c r="BQ49" s="753"/>
      <c r="BR49" s="753"/>
      <c r="BS49" s="753"/>
      <c r="BT49" s="753"/>
      <c r="BU49" s="753"/>
      <c r="BV49" s="753"/>
      <c r="BW49" s="753"/>
      <c r="BX49" s="753"/>
      <c r="BY49" s="753"/>
      <c r="BZ49" s="753"/>
      <c r="CA49" s="753"/>
      <c r="CB49" s="753"/>
      <c r="CC49" s="753"/>
      <c r="CD49" s="753"/>
      <c r="CE49" s="753"/>
      <c r="CF49" s="753"/>
      <c r="CG49" s="753"/>
      <c r="CH49" s="753"/>
      <c r="CI49" s="753"/>
      <c r="CJ49" s="753"/>
      <c r="CK49" s="753"/>
      <c r="CL49" s="753"/>
      <c r="CM49" s="753"/>
      <c r="CN49" s="753"/>
      <c r="CO49" s="753"/>
      <c r="CP49" s="753"/>
      <c r="CQ49" s="753"/>
      <c r="CR49" s="753"/>
      <c r="CS49" s="753"/>
      <c r="CT49" s="753"/>
      <c r="CU49" s="753"/>
      <c r="CV49" s="753"/>
      <c r="CW49" s="753"/>
      <c r="CX49" s="753"/>
      <c r="CY49" s="753"/>
      <c r="CZ49" s="753"/>
      <c r="DA49" s="753"/>
      <c r="DB49" s="753"/>
      <c r="DC49" s="753"/>
      <c r="DD49" s="753"/>
      <c r="DE49" s="753"/>
      <c r="DF49" s="753"/>
      <c r="DG49" s="753"/>
      <c r="DH49" s="753"/>
      <c r="DI49" s="753"/>
      <c r="DJ49" s="753"/>
      <c r="DK49" s="753"/>
      <c r="DL49" s="753"/>
      <c r="DM49" s="753"/>
      <c r="DN49" s="753"/>
      <c r="DO49" s="753"/>
      <c r="DP49" s="753"/>
    </row>
    <row r="50" spans="1:120" s="43" customFormat="1" ht="20.25" x14ac:dyDescent="0.25">
      <c r="A50"/>
      <c r="B50" s="46"/>
      <c r="C50" s="46"/>
      <c r="D50" s="48" t="s">
        <v>619</v>
      </c>
      <c r="E50" s="46"/>
      <c r="G50" s="46"/>
      <c r="H50" s="150"/>
      <c r="I50" s="158">
        <f>SUM(I43:I49)</f>
        <v>143768.33000000002</v>
      </c>
      <c r="J50" s="150"/>
      <c r="K50" s="158">
        <f>SUM(K43:K49)</f>
        <v>236521.16</v>
      </c>
      <c r="M50" s="158">
        <f>SUM(M43:M49)</f>
        <v>348953.54000000004</v>
      </c>
      <c r="N50" s="753"/>
      <c r="O50" s="753"/>
      <c r="P50" s="753"/>
      <c r="Q50" s="753"/>
      <c r="R50" s="753"/>
      <c r="S50" s="753"/>
      <c r="T50" s="753"/>
      <c r="U50" s="753"/>
      <c r="V50" s="753"/>
      <c r="W50" s="753"/>
      <c r="X50" s="753"/>
      <c r="Y50" s="753"/>
      <c r="Z50" s="753"/>
      <c r="AA50" s="753"/>
      <c r="AB50" s="753"/>
      <c r="AC50" s="753"/>
      <c r="AD50" s="753"/>
      <c r="AE50" s="753"/>
      <c r="AF50" s="753"/>
      <c r="AG50" s="753"/>
      <c r="AH50" s="753"/>
      <c r="AI50" s="753"/>
      <c r="AJ50" s="753"/>
      <c r="AK50" s="753"/>
      <c r="AL50" s="753"/>
      <c r="AM50" s="753"/>
      <c r="AN50" s="753"/>
      <c r="AO50" s="753"/>
      <c r="AP50" s="753"/>
      <c r="AQ50" s="753"/>
      <c r="AR50" s="753"/>
      <c r="AS50" s="753"/>
      <c r="AT50" s="753"/>
      <c r="AU50" s="753"/>
      <c r="AV50" s="753"/>
      <c r="AW50" s="753"/>
      <c r="AX50" s="753"/>
      <c r="AY50" s="753"/>
      <c r="AZ50" s="753"/>
      <c r="BA50" s="753"/>
      <c r="BB50" s="753"/>
      <c r="BC50" s="753"/>
      <c r="BD50" s="753"/>
      <c r="BE50" s="753"/>
      <c r="BF50" s="753"/>
      <c r="BG50" s="753"/>
      <c r="BH50" s="753"/>
      <c r="BI50" s="753"/>
      <c r="BJ50" s="753"/>
      <c r="BK50" s="753"/>
      <c r="BL50" s="753"/>
      <c r="BM50" s="753"/>
      <c r="BN50" s="753"/>
      <c r="BO50" s="753"/>
      <c r="BP50" s="753"/>
      <c r="BQ50" s="753"/>
      <c r="BR50" s="753"/>
      <c r="BS50" s="753"/>
      <c r="BT50" s="753"/>
      <c r="BU50" s="753"/>
      <c r="BV50" s="753"/>
      <c r="BW50" s="753"/>
      <c r="BX50" s="753"/>
      <c r="BY50" s="753"/>
      <c r="BZ50" s="753"/>
      <c r="CA50" s="753"/>
      <c r="CB50" s="753"/>
      <c r="CC50" s="753"/>
      <c r="CD50" s="753"/>
      <c r="CE50" s="753"/>
      <c r="CF50" s="753"/>
      <c r="CG50" s="753"/>
      <c r="CH50" s="753"/>
      <c r="CI50" s="753"/>
      <c r="CJ50" s="753"/>
      <c r="CK50" s="753"/>
      <c r="CL50" s="753"/>
      <c r="CM50" s="753"/>
      <c r="CN50" s="753"/>
      <c r="CO50" s="753"/>
      <c r="CP50" s="753"/>
      <c r="CQ50" s="753"/>
      <c r="CR50" s="753"/>
      <c r="CS50" s="753"/>
      <c r="CT50" s="753"/>
      <c r="CU50" s="753"/>
      <c r="CV50" s="753"/>
      <c r="CW50" s="753"/>
      <c r="CX50" s="753"/>
      <c r="CY50" s="753"/>
      <c r="CZ50" s="753"/>
      <c r="DA50" s="753"/>
      <c r="DB50" s="753"/>
      <c r="DC50" s="753"/>
      <c r="DD50" s="753"/>
      <c r="DE50" s="753"/>
      <c r="DF50" s="753"/>
      <c r="DG50" s="753"/>
      <c r="DH50" s="753"/>
      <c r="DI50" s="753"/>
      <c r="DJ50" s="753"/>
      <c r="DK50" s="753"/>
      <c r="DL50" s="753"/>
      <c r="DM50" s="753"/>
      <c r="DN50" s="753"/>
      <c r="DO50" s="753"/>
      <c r="DP50" s="753"/>
    </row>
    <row r="51" spans="1:120" s="43" customFormat="1" ht="9.75" customHeight="1" x14ac:dyDescent="0.25">
      <c r="A51"/>
      <c r="B51" s="46"/>
      <c r="C51" s="46"/>
      <c r="D51" s="46"/>
      <c r="E51" s="46"/>
      <c r="F51" s="46"/>
      <c r="G51" s="46"/>
      <c r="H51" s="150"/>
      <c r="I51" s="150"/>
      <c r="J51" s="150"/>
      <c r="K51" s="150"/>
      <c r="M51" s="150"/>
      <c r="N51" s="753"/>
      <c r="O51" s="753"/>
      <c r="P51" s="753"/>
      <c r="Q51" s="753"/>
      <c r="R51" s="753"/>
      <c r="S51" s="753"/>
      <c r="T51" s="753"/>
      <c r="U51" s="753"/>
      <c r="V51" s="753"/>
      <c r="W51" s="753"/>
      <c r="X51" s="753"/>
      <c r="Y51" s="753"/>
      <c r="Z51" s="753"/>
      <c r="AA51" s="753"/>
      <c r="AB51" s="753"/>
      <c r="AC51" s="753"/>
      <c r="AD51" s="753"/>
      <c r="AE51" s="753"/>
      <c r="AF51" s="753"/>
      <c r="AG51" s="753"/>
      <c r="AH51" s="753"/>
      <c r="AI51" s="753"/>
      <c r="AJ51" s="753"/>
      <c r="AK51" s="753"/>
      <c r="AL51" s="753"/>
      <c r="AM51" s="753"/>
      <c r="AN51" s="753"/>
      <c r="AO51" s="753"/>
      <c r="AP51" s="753"/>
      <c r="AQ51" s="753"/>
      <c r="AR51" s="753"/>
      <c r="AS51" s="753"/>
      <c r="AT51" s="753"/>
      <c r="AU51" s="753"/>
      <c r="AV51" s="753"/>
      <c r="AW51" s="753"/>
      <c r="AX51" s="753"/>
      <c r="AY51" s="753"/>
      <c r="AZ51" s="753"/>
      <c r="BA51" s="753"/>
      <c r="BB51" s="753"/>
      <c r="BC51" s="753"/>
      <c r="BD51" s="753"/>
      <c r="BE51" s="753"/>
      <c r="BF51" s="753"/>
      <c r="BG51" s="753"/>
      <c r="BH51" s="753"/>
      <c r="BI51" s="753"/>
      <c r="BJ51" s="753"/>
      <c r="BK51" s="753"/>
      <c r="BL51" s="753"/>
      <c r="BM51" s="753"/>
      <c r="BN51" s="753"/>
      <c r="BO51" s="753"/>
      <c r="BP51" s="753"/>
      <c r="BQ51" s="753"/>
      <c r="BR51" s="753"/>
      <c r="BS51" s="753"/>
      <c r="BT51" s="753"/>
      <c r="BU51" s="753"/>
      <c r="BV51" s="753"/>
      <c r="BW51" s="753"/>
      <c r="BX51" s="753"/>
      <c r="BY51" s="753"/>
      <c r="BZ51" s="753"/>
      <c r="CA51" s="753"/>
      <c r="CB51" s="753"/>
      <c r="CC51" s="753"/>
      <c r="CD51" s="753"/>
      <c r="CE51" s="753"/>
      <c r="CF51" s="753"/>
      <c r="CG51" s="753"/>
      <c r="CH51" s="753"/>
      <c r="CI51" s="753"/>
      <c r="CJ51" s="753"/>
      <c r="CK51" s="753"/>
      <c r="CL51" s="753"/>
      <c r="CM51" s="753"/>
      <c r="CN51" s="753"/>
      <c r="CO51" s="753"/>
      <c r="CP51" s="753"/>
      <c r="CQ51" s="753"/>
      <c r="CR51" s="753"/>
      <c r="CS51" s="753"/>
      <c r="CT51" s="753"/>
      <c r="CU51" s="753"/>
      <c r="CV51" s="753"/>
      <c r="CW51" s="753"/>
      <c r="CX51" s="753"/>
      <c r="CY51" s="753"/>
      <c r="CZ51" s="753"/>
      <c r="DA51" s="753"/>
      <c r="DB51" s="753"/>
      <c r="DC51" s="753"/>
      <c r="DD51" s="753"/>
      <c r="DE51" s="753"/>
      <c r="DF51" s="753"/>
      <c r="DG51" s="753"/>
      <c r="DH51" s="753"/>
      <c r="DI51" s="753"/>
      <c r="DJ51" s="753"/>
      <c r="DK51" s="753"/>
      <c r="DL51" s="753"/>
      <c r="DM51" s="753"/>
      <c r="DN51" s="753"/>
      <c r="DO51" s="753"/>
      <c r="DP51" s="753"/>
    </row>
    <row r="52" spans="1:120" s="43" customFormat="1" ht="20.25" x14ac:dyDescent="0.25">
      <c r="A52"/>
      <c r="B52" s="46"/>
      <c r="C52" s="46"/>
      <c r="D52" s="55" t="s">
        <v>620</v>
      </c>
      <c r="E52" s="55"/>
      <c r="F52" s="96"/>
      <c r="G52" s="96"/>
      <c r="H52" s="150"/>
      <c r="I52" s="152"/>
      <c r="J52" s="150"/>
      <c r="K52" s="152"/>
      <c r="M52" s="152"/>
      <c r="N52" s="753"/>
      <c r="O52" s="753"/>
      <c r="P52" s="753"/>
      <c r="Q52" s="753"/>
      <c r="R52" s="753"/>
      <c r="S52" s="753"/>
      <c r="T52" s="753"/>
      <c r="U52" s="753"/>
      <c r="V52" s="753"/>
      <c r="W52" s="753"/>
      <c r="X52" s="753"/>
      <c r="Y52" s="753"/>
      <c r="Z52" s="753"/>
      <c r="AA52" s="753"/>
      <c r="AB52" s="753"/>
      <c r="AC52" s="753"/>
      <c r="AD52" s="753"/>
      <c r="AE52" s="753"/>
      <c r="AF52" s="753"/>
      <c r="AG52" s="753"/>
      <c r="AH52" s="753"/>
      <c r="AI52" s="753"/>
      <c r="AJ52" s="753"/>
      <c r="AK52" s="753"/>
      <c r="AL52" s="753"/>
      <c r="AM52" s="753"/>
      <c r="AN52" s="753"/>
      <c r="AO52" s="753"/>
      <c r="AP52" s="753"/>
      <c r="AQ52" s="753"/>
      <c r="AR52" s="753"/>
      <c r="AS52" s="753"/>
      <c r="AT52" s="753"/>
      <c r="AU52" s="753"/>
      <c r="AV52" s="753"/>
      <c r="AW52" s="753"/>
      <c r="AX52" s="753"/>
      <c r="AY52" s="753"/>
      <c r="AZ52" s="753"/>
      <c r="BA52" s="753"/>
      <c r="BB52" s="753"/>
      <c r="BC52" s="753"/>
      <c r="BD52" s="753"/>
      <c r="BE52" s="753"/>
      <c r="BF52" s="753"/>
      <c r="BG52" s="753"/>
      <c r="BH52" s="753"/>
      <c r="BI52" s="753"/>
      <c r="BJ52" s="753"/>
      <c r="BK52" s="753"/>
      <c r="BL52" s="753"/>
      <c r="BM52" s="753"/>
      <c r="BN52" s="753"/>
      <c r="BO52" s="753"/>
      <c r="BP52" s="753"/>
      <c r="BQ52" s="753"/>
      <c r="BR52" s="753"/>
      <c r="BS52" s="753"/>
      <c r="BT52" s="753"/>
      <c r="BU52" s="753"/>
      <c r="BV52" s="753"/>
      <c r="BW52" s="753"/>
      <c r="BX52" s="753"/>
      <c r="BY52" s="753"/>
      <c r="BZ52" s="753"/>
      <c r="CA52" s="753"/>
      <c r="CB52" s="753"/>
      <c r="CC52" s="753"/>
      <c r="CD52" s="753"/>
      <c r="CE52" s="753"/>
      <c r="CF52" s="753"/>
      <c r="CG52" s="753"/>
      <c r="CH52" s="753"/>
      <c r="CI52" s="753"/>
      <c r="CJ52" s="753"/>
      <c r="CK52" s="753"/>
      <c r="CL52" s="753"/>
      <c r="CM52" s="753"/>
      <c r="CN52" s="753"/>
      <c r="CO52" s="753"/>
      <c r="CP52" s="753"/>
      <c r="CQ52" s="753"/>
      <c r="CR52" s="753"/>
      <c r="CS52" s="753"/>
      <c r="CT52" s="753"/>
      <c r="CU52" s="753"/>
      <c r="CV52" s="753"/>
      <c r="CW52" s="753"/>
      <c r="CX52" s="753"/>
      <c r="CY52" s="753"/>
      <c r="CZ52" s="753"/>
      <c r="DA52" s="753"/>
      <c r="DB52" s="753"/>
      <c r="DC52" s="753"/>
      <c r="DD52" s="753"/>
      <c r="DE52" s="753"/>
      <c r="DF52" s="753"/>
      <c r="DG52" s="753"/>
      <c r="DH52" s="753"/>
      <c r="DI52" s="753"/>
      <c r="DJ52" s="753"/>
      <c r="DK52" s="753"/>
      <c r="DL52" s="753"/>
      <c r="DM52" s="753"/>
      <c r="DN52" s="753"/>
      <c r="DO52" s="753"/>
      <c r="DP52" s="753"/>
    </row>
    <row r="53" spans="1:120" s="43" customFormat="1" ht="20.25" x14ac:dyDescent="0.25">
      <c r="A53"/>
      <c r="B53" s="46"/>
      <c r="C53" s="46"/>
      <c r="D53" s="46"/>
      <c r="E53" s="46" t="s">
        <v>621</v>
      </c>
      <c r="F53" s="46"/>
      <c r="G53" s="46"/>
      <c r="H53" s="150"/>
      <c r="I53" s="150">
        <f>18640.58+29300.31</f>
        <v>47940.89</v>
      </c>
      <c r="J53" s="150"/>
      <c r="K53" s="150">
        <f>18090.49+2862.91</f>
        <v>20953.400000000001</v>
      </c>
      <c r="M53" s="150">
        <v>24553</v>
      </c>
      <c r="N53" s="753"/>
      <c r="O53" s="753"/>
      <c r="P53" s="753"/>
      <c r="Q53" s="753"/>
      <c r="R53" s="753"/>
      <c r="S53" s="753"/>
      <c r="T53" s="753"/>
      <c r="U53" s="753"/>
      <c r="V53" s="753"/>
      <c r="W53" s="753"/>
      <c r="X53" s="753"/>
      <c r="Y53" s="753"/>
      <c r="Z53" s="753"/>
      <c r="AA53" s="753"/>
      <c r="AB53" s="753"/>
      <c r="AC53" s="753"/>
      <c r="AD53" s="753"/>
      <c r="AE53" s="753"/>
      <c r="AF53" s="753"/>
      <c r="AG53" s="753"/>
      <c r="AH53" s="753"/>
      <c r="AI53" s="753"/>
      <c r="AJ53" s="753"/>
      <c r="AK53" s="753"/>
      <c r="AL53" s="753"/>
      <c r="AM53" s="753"/>
      <c r="AN53" s="753"/>
      <c r="AO53" s="753"/>
      <c r="AP53" s="753"/>
      <c r="AQ53" s="753"/>
      <c r="AR53" s="753"/>
      <c r="AS53" s="753"/>
      <c r="AT53" s="753"/>
      <c r="AU53" s="753"/>
      <c r="AV53" s="753"/>
      <c r="AW53" s="753"/>
      <c r="AX53" s="753"/>
      <c r="AY53" s="753"/>
      <c r="AZ53" s="753"/>
      <c r="BA53" s="753"/>
      <c r="BB53" s="753"/>
      <c r="BC53" s="753"/>
      <c r="BD53" s="753"/>
      <c r="BE53" s="753"/>
      <c r="BF53" s="753"/>
      <c r="BG53" s="753"/>
      <c r="BH53" s="753"/>
      <c r="BI53" s="753"/>
      <c r="BJ53" s="753"/>
      <c r="BK53" s="753"/>
      <c r="BL53" s="753"/>
      <c r="BM53" s="753"/>
      <c r="BN53" s="753"/>
      <c r="BO53" s="753"/>
      <c r="BP53" s="753"/>
      <c r="BQ53" s="753"/>
      <c r="BR53" s="753"/>
      <c r="BS53" s="753"/>
      <c r="BT53" s="753"/>
      <c r="BU53" s="753"/>
      <c r="BV53" s="753"/>
      <c r="BW53" s="753"/>
      <c r="BX53" s="753"/>
      <c r="BY53" s="753"/>
      <c r="BZ53" s="753"/>
      <c r="CA53" s="753"/>
      <c r="CB53" s="753"/>
      <c r="CC53" s="753"/>
      <c r="CD53" s="753"/>
      <c r="CE53" s="753"/>
      <c r="CF53" s="753"/>
      <c r="CG53" s="753"/>
      <c r="CH53" s="753"/>
      <c r="CI53" s="753"/>
      <c r="CJ53" s="753"/>
      <c r="CK53" s="753"/>
      <c r="CL53" s="753"/>
      <c r="CM53" s="753"/>
      <c r="CN53" s="753"/>
      <c r="CO53" s="753"/>
      <c r="CP53" s="753"/>
      <c r="CQ53" s="753"/>
      <c r="CR53" s="753"/>
      <c r="CS53" s="753"/>
      <c r="CT53" s="753"/>
      <c r="CU53" s="753"/>
      <c r="CV53" s="753"/>
      <c r="CW53" s="753"/>
      <c r="CX53" s="753"/>
      <c r="CY53" s="753"/>
      <c r="CZ53" s="753"/>
      <c r="DA53" s="753"/>
      <c r="DB53" s="753"/>
      <c r="DC53" s="753"/>
      <c r="DD53" s="753"/>
      <c r="DE53" s="753"/>
      <c r="DF53" s="753"/>
      <c r="DG53" s="753"/>
      <c r="DH53" s="753"/>
      <c r="DI53" s="753"/>
      <c r="DJ53" s="753"/>
      <c r="DK53" s="753"/>
      <c r="DL53" s="753"/>
      <c r="DM53" s="753"/>
      <c r="DN53" s="753"/>
      <c r="DO53" s="753"/>
      <c r="DP53" s="753"/>
    </row>
    <row r="54" spans="1:120" s="43" customFormat="1" ht="20.25" x14ac:dyDescent="0.25">
      <c r="A54"/>
      <c r="B54" s="46"/>
      <c r="C54" s="46"/>
      <c r="D54" s="46"/>
      <c r="E54" s="46" t="s">
        <v>622</v>
      </c>
      <c r="F54" s="46"/>
      <c r="G54" s="46"/>
      <c r="H54" s="150"/>
      <c r="I54" s="150">
        <v>26093.05</v>
      </c>
      <c r="J54" s="150"/>
      <c r="K54" s="150">
        <v>27013.15</v>
      </c>
      <c r="M54" s="150">
        <v>28273</v>
      </c>
      <c r="N54" s="753"/>
      <c r="O54" s="753"/>
      <c r="P54" s="753"/>
      <c r="Q54" s="753"/>
      <c r="R54" s="753"/>
      <c r="S54" s="753"/>
      <c r="T54" s="753"/>
      <c r="U54" s="753"/>
      <c r="V54" s="753"/>
      <c r="W54" s="753"/>
      <c r="X54" s="753"/>
      <c r="Y54" s="753"/>
      <c r="Z54" s="753"/>
      <c r="AA54" s="753"/>
      <c r="AB54" s="753"/>
      <c r="AC54" s="753"/>
      <c r="AD54" s="753"/>
      <c r="AE54" s="753"/>
      <c r="AF54" s="753"/>
      <c r="AG54" s="753"/>
      <c r="AH54" s="753"/>
      <c r="AI54" s="753"/>
      <c r="AJ54" s="753"/>
      <c r="AK54" s="753"/>
      <c r="AL54" s="753"/>
      <c r="AM54" s="753"/>
      <c r="AN54" s="753"/>
      <c r="AO54" s="753"/>
      <c r="AP54" s="753"/>
      <c r="AQ54" s="753"/>
      <c r="AR54" s="753"/>
      <c r="AS54" s="753"/>
      <c r="AT54" s="753"/>
      <c r="AU54" s="753"/>
      <c r="AV54" s="753"/>
      <c r="AW54" s="753"/>
      <c r="AX54" s="753"/>
      <c r="AY54" s="753"/>
      <c r="AZ54" s="753"/>
      <c r="BA54" s="753"/>
      <c r="BB54" s="753"/>
      <c r="BC54" s="753"/>
      <c r="BD54" s="753"/>
      <c r="BE54" s="753"/>
      <c r="BF54" s="753"/>
      <c r="BG54" s="753"/>
      <c r="BH54" s="753"/>
      <c r="BI54" s="753"/>
      <c r="BJ54" s="753"/>
      <c r="BK54" s="753"/>
      <c r="BL54" s="753"/>
      <c r="BM54" s="753"/>
      <c r="BN54" s="753"/>
      <c r="BO54" s="753"/>
      <c r="BP54" s="753"/>
      <c r="BQ54" s="753"/>
      <c r="BR54" s="753"/>
      <c r="BS54" s="753"/>
      <c r="BT54" s="753"/>
      <c r="BU54" s="753"/>
      <c r="BV54" s="753"/>
      <c r="BW54" s="753"/>
      <c r="BX54" s="753"/>
      <c r="BY54" s="753"/>
      <c r="BZ54" s="753"/>
      <c r="CA54" s="753"/>
      <c r="CB54" s="753"/>
      <c r="CC54" s="753"/>
      <c r="CD54" s="753"/>
      <c r="CE54" s="753"/>
      <c r="CF54" s="753"/>
      <c r="CG54" s="753"/>
      <c r="CH54" s="753"/>
      <c r="CI54" s="753"/>
      <c r="CJ54" s="753"/>
      <c r="CK54" s="753"/>
      <c r="CL54" s="753"/>
      <c r="CM54" s="753"/>
      <c r="CN54" s="753"/>
      <c r="CO54" s="753"/>
      <c r="CP54" s="753"/>
      <c r="CQ54" s="753"/>
      <c r="CR54" s="753"/>
      <c r="CS54" s="753"/>
      <c r="CT54" s="753"/>
      <c r="CU54" s="753"/>
      <c r="CV54" s="753"/>
      <c r="CW54" s="753"/>
      <c r="CX54" s="753"/>
      <c r="CY54" s="753"/>
      <c r="CZ54" s="753"/>
      <c r="DA54" s="753"/>
      <c r="DB54" s="753"/>
      <c r="DC54" s="753"/>
      <c r="DD54" s="753"/>
      <c r="DE54" s="753"/>
      <c r="DF54" s="753"/>
      <c r="DG54" s="753"/>
      <c r="DH54" s="753"/>
      <c r="DI54" s="753"/>
      <c r="DJ54" s="753"/>
      <c r="DK54" s="753"/>
      <c r="DL54" s="753"/>
      <c r="DM54" s="753"/>
      <c r="DN54" s="753"/>
      <c r="DO54" s="753"/>
      <c r="DP54" s="753"/>
    </row>
    <row r="55" spans="1:120" s="43" customFormat="1" ht="20.25" x14ac:dyDescent="0.25">
      <c r="A55"/>
      <c r="B55" s="46"/>
      <c r="C55" s="46"/>
      <c r="D55" s="46"/>
      <c r="E55" s="46" t="s">
        <v>623</v>
      </c>
      <c r="F55" s="46"/>
      <c r="G55" s="46"/>
      <c r="H55" s="150"/>
      <c r="I55" s="150">
        <v>0</v>
      </c>
      <c r="J55" s="150"/>
      <c r="K55" s="150">
        <v>0</v>
      </c>
      <c r="M55" s="150">
        <v>1675.7</v>
      </c>
      <c r="N55" s="753"/>
      <c r="O55" s="753"/>
      <c r="P55" s="753"/>
      <c r="Q55" s="753"/>
      <c r="R55" s="753"/>
      <c r="S55" s="753"/>
      <c r="T55" s="753"/>
      <c r="U55" s="753"/>
      <c r="V55" s="753"/>
      <c r="W55" s="753"/>
      <c r="X55" s="753"/>
      <c r="Y55" s="753"/>
      <c r="Z55" s="753"/>
      <c r="AA55" s="753"/>
      <c r="AB55" s="753"/>
      <c r="AC55" s="753"/>
      <c r="AD55" s="753"/>
      <c r="AE55" s="753"/>
      <c r="AF55" s="753"/>
      <c r="AG55" s="753"/>
      <c r="AH55" s="753"/>
      <c r="AI55" s="753"/>
      <c r="AJ55" s="753"/>
      <c r="AK55" s="753"/>
      <c r="AL55" s="753"/>
      <c r="AM55" s="753"/>
      <c r="AN55" s="753"/>
      <c r="AO55" s="753"/>
      <c r="AP55" s="753"/>
      <c r="AQ55" s="753"/>
      <c r="AR55" s="753"/>
      <c r="AS55" s="753"/>
      <c r="AT55" s="753"/>
      <c r="AU55" s="753"/>
      <c r="AV55" s="753"/>
      <c r="AW55" s="753"/>
      <c r="AX55" s="753"/>
      <c r="AY55" s="753"/>
      <c r="AZ55" s="753"/>
      <c r="BA55" s="753"/>
      <c r="BB55" s="753"/>
      <c r="BC55" s="753"/>
      <c r="BD55" s="753"/>
      <c r="BE55" s="753"/>
      <c r="BF55" s="753"/>
      <c r="BG55" s="753"/>
      <c r="BH55" s="753"/>
      <c r="BI55" s="753"/>
      <c r="BJ55" s="753"/>
      <c r="BK55" s="753"/>
      <c r="BL55" s="753"/>
      <c r="BM55" s="753"/>
      <c r="BN55" s="753"/>
      <c r="BO55" s="753"/>
      <c r="BP55" s="753"/>
      <c r="BQ55" s="753"/>
      <c r="BR55" s="753"/>
      <c r="BS55" s="753"/>
      <c r="BT55" s="753"/>
      <c r="BU55" s="753"/>
      <c r="BV55" s="753"/>
      <c r="BW55" s="753"/>
      <c r="BX55" s="753"/>
      <c r="BY55" s="753"/>
      <c r="BZ55" s="753"/>
      <c r="CA55" s="753"/>
      <c r="CB55" s="753"/>
      <c r="CC55" s="753"/>
      <c r="CD55" s="753"/>
      <c r="CE55" s="753"/>
      <c r="CF55" s="753"/>
      <c r="CG55" s="753"/>
      <c r="CH55" s="753"/>
      <c r="CI55" s="753"/>
      <c r="CJ55" s="753"/>
      <c r="CK55" s="753"/>
      <c r="CL55" s="753"/>
      <c r="CM55" s="753"/>
      <c r="CN55" s="753"/>
      <c r="CO55" s="753"/>
      <c r="CP55" s="753"/>
      <c r="CQ55" s="753"/>
      <c r="CR55" s="753"/>
      <c r="CS55" s="753"/>
      <c r="CT55" s="753"/>
      <c r="CU55" s="753"/>
      <c r="CV55" s="753"/>
      <c r="CW55" s="753"/>
      <c r="CX55" s="753"/>
      <c r="CY55" s="753"/>
      <c r="CZ55" s="753"/>
      <c r="DA55" s="753"/>
      <c r="DB55" s="753"/>
      <c r="DC55" s="753"/>
      <c r="DD55" s="753"/>
      <c r="DE55" s="753"/>
      <c r="DF55" s="753"/>
      <c r="DG55" s="753"/>
      <c r="DH55" s="753"/>
      <c r="DI55" s="753"/>
      <c r="DJ55" s="753"/>
      <c r="DK55" s="753"/>
      <c r="DL55" s="753"/>
      <c r="DM55" s="753"/>
      <c r="DN55" s="753"/>
      <c r="DO55" s="753"/>
      <c r="DP55" s="753"/>
    </row>
    <row r="56" spans="1:120" s="43" customFormat="1" ht="20.25" x14ac:dyDescent="0.25">
      <c r="A56"/>
      <c r="B56" s="46"/>
      <c r="C56" s="46"/>
      <c r="D56" s="46"/>
      <c r="E56" s="46" t="s">
        <v>624</v>
      </c>
      <c r="F56" s="46"/>
      <c r="G56" s="46"/>
      <c r="H56" s="150"/>
      <c r="I56" s="152">
        <v>0</v>
      </c>
      <c r="J56" s="150"/>
      <c r="K56" s="152">
        <v>0</v>
      </c>
      <c r="M56" s="152">
        <v>137.26</v>
      </c>
      <c r="N56" s="753"/>
      <c r="O56" s="753"/>
      <c r="P56" s="753"/>
      <c r="Q56" s="753"/>
      <c r="R56" s="753"/>
      <c r="S56" s="753"/>
      <c r="T56" s="753"/>
      <c r="U56" s="753"/>
      <c r="V56" s="753"/>
      <c r="W56" s="753"/>
      <c r="X56" s="753"/>
      <c r="Y56" s="753"/>
      <c r="Z56" s="753"/>
      <c r="AA56" s="753"/>
      <c r="AB56" s="753"/>
      <c r="AC56" s="753"/>
      <c r="AD56" s="753"/>
      <c r="AE56" s="753"/>
      <c r="AF56" s="753"/>
      <c r="AG56" s="753"/>
      <c r="AH56" s="753"/>
      <c r="AI56" s="753"/>
      <c r="AJ56" s="753"/>
      <c r="AK56" s="753"/>
      <c r="AL56" s="753"/>
      <c r="AM56" s="753"/>
      <c r="AN56" s="753"/>
      <c r="AO56" s="753"/>
      <c r="AP56" s="753"/>
      <c r="AQ56" s="753"/>
      <c r="AR56" s="753"/>
      <c r="AS56" s="753"/>
      <c r="AT56" s="753"/>
      <c r="AU56" s="753"/>
      <c r="AV56" s="753"/>
      <c r="AW56" s="753"/>
      <c r="AX56" s="753"/>
      <c r="AY56" s="753"/>
      <c r="AZ56" s="753"/>
      <c r="BA56" s="753"/>
      <c r="BB56" s="753"/>
      <c r="BC56" s="753"/>
      <c r="BD56" s="753"/>
      <c r="BE56" s="753"/>
      <c r="BF56" s="753"/>
      <c r="BG56" s="753"/>
      <c r="BH56" s="753"/>
      <c r="BI56" s="753"/>
      <c r="BJ56" s="753"/>
      <c r="BK56" s="753"/>
      <c r="BL56" s="753"/>
      <c r="BM56" s="753"/>
      <c r="BN56" s="753"/>
      <c r="BO56" s="753"/>
      <c r="BP56" s="753"/>
      <c r="BQ56" s="753"/>
      <c r="BR56" s="753"/>
      <c r="BS56" s="753"/>
      <c r="BT56" s="753"/>
      <c r="BU56" s="753"/>
      <c r="BV56" s="753"/>
      <c r="BW56" s="753"/>
      <c r="BX56" s="753"/>
      <c r="BY56" s="753"/>
      <c r="BZ56" s="753"/>
      <c r="CA56" s="753"/>
      <c r="CB56" s="753"/>
      <c r="CC56" s="753"/>
      <c r="CD56" s="753"/>
      <c r="CE56" s="753"/>
      <c r="CF56" s="753"/>
      <c r="CG56" s="753"/>
      <c r="CH56" s="753"/>
      <c r="CI56" s="753"/>
      <c r="CJ56" s="753"/>
      <c r="CK56" s="753"/>
      <c r="CL56" s="753"/>
      <c r="CM56" s="753"/>
      <c r="CN56" s="753"/>
      <c r="CO56" s="753"/>
      <c r="CP56" s="753"/>
      <c r="CQ56" s="753"/>
      <c r="CR56" s="753"/>
      <c r="CS56" s="753"/>
      <c r="CT56" s="753"/>
      <c r="CU56" s="753"/>
      <c r="CV56" s="753"/>
      <c r="CW56" s="753"/>
      <c r="CX56" s="753"/>
      <c r="CY56" s="753"/>
      <c r="CZ56" s="753"/>
      <c r="DA56" s="753"/>
      <c r="DB56" s="753"/>
      <c r="DC56" s="753"/>
      <c r="DD56" s="753"/>
      <c r="DE56" s="753"/>
      <c r="DF56" s="753"/>
      <c r="DG56" s="753"/>
      <c r="DH56" s="753"/>
      <c r="DI56" s="753"/>
      <c r="DJ56" s="753"/>
      <c r="DK56" s="753"/>
      <c r="DL56" s="753"/>
      <c r="DM56" s="753"/>
      <c r="DN56" s="753"/>
      <c r="DO56" s="753"/>
      <c r="DP56" s="753"/>
    </row>
    <row r="57" spans="1:120" s="43" customFormat="1" ht="20.25" x14ac:dyDescent="0.25">
      <c r="A57"/>
      <c r="B57" s="46"/>
      <c r="C57" s="46"/>
      <c r="D57" s="42" t="s">
        <v>625</v>
      </c>
      <c r="E57" s="46"/>
      <c r="G57" s="46"/>
      <c r="H57" s="150"/>
      <c r="I57" s="150">
        <f>ROUND(SUM(I52:I56),5)</f>
        <v>74033.94</v>
      </c>
      <c r="J57" s="150"/>
      <c r="K57" s="150">
        <f>ROUND(SUM(K52:K56),5)</f>
        <v>47966.55</v>
      </c>
      <c r="M57" s="150">
        <f>ROUND(SUM(M52:M56),5)</f>
        <v>54638.96</v>
      </c>
      <c r="N57" s="753"/>
      <c r="O57" s="753"/>
      <c r="P57" s="786"/>
      <c r="Q57" s="786"/>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3"/>
      <c r="AW57" s="753"/>
      <c r="AX57" s="753"/>
      <c r="AY57" s="753"/>
      <c r="AZ57" s="753"/>
      <c r="BA57" s="753"/>
      <c r="BB57" s="753"/>
      <c r="BC57" s="753"/>
      <c r="BD57" s="753"/>
      <c r="BE57" s="753"/>
      <c r="BF57" s="753"/>
      <c r="BG57" s="753"/>
      <c r="BH57" s="753"/>
      <c r="BI57" s="753"/>
      <c r="BJ57" s="753"/>
      <c r="BK57" s="753"/>
      <c r="BL57" s="753"/>
      <c r="BM57" s="753"/>
      <c r="BN57" s="753"/>
      <c r="BO57" s="753"/>
      <c r="BP57" s="753"/>
      <c r="BQ57" s="753"/>
      <c r="BR57" s="753"/>
      <c r="BS57" s="753"/>
      <c r="BT57" s="753"/>
      <c r="BU57" s="753"/>
      <c r="BV57" s="753"/>
      <c r="BW57" s="753"/>
      <c r="BX57" s="753"/>
      <c r="BY57" s="753"/>
      <c r="BZ57" s="753"/>
      <c r="CA57" s="753"/>
      <c r="CB57" s="753"/>
      <c r="CC57" s="753"/>
      <c r="CD57" s="753"/>
      <c r="CE57" s="753"/>
      <c r="CF57" s="753"/>
      <c r="CG57" s="753"/>
      <c r="CH57" s="753"/>
      <c r="CI57" s="753"/>
      <c r="CJ57" s="753"/>
      <c r="CK57" s="753"/>
      <c r="CL57" s="753"/>
      <c r="CM57" s="753"/>
      <c r="CN57" s="753"/>
      <c r="CO57" s="753"/>
      <c r="CP57" s="753"/>
      <c r="CQ57" s="753"/>
      <c r="CR57" s="753"/>
      <c r="CS57" s="753"/>
      <c r="CT57" s="753"/>
      <c r="CU57" s="753"/>
      <c r="CV57" s="753"/>
      <c r="CW57" s="753"/>
      <c r="CX57" s="753"/>
      <c r="CY57" s="753"/>
      <c r="CZ57" s="753"/>
      <c r="DA57" s="753"/>
      <c r="DB57" s="753"/>
      <c r="DC57" s="753"/>
      <c r="DD57" s="753"/>
      <c r="DE57" s="753"/>
      <c r="DF57" s="753"/>
      <c r="DG57" s="753"/>
      <c r="DH57" s="753"/>
      <c r="DI57" s="753"/>
      <c r="DJ57" s="753"/>
      <c r="DK57" s="753"/>
      <c r="DL57" s="753"/>
      <c r="DM57" s="753"/>
      <c r="DN57" s="753"/>
      <c r="DO57" s="753"/>
      <c r="DP57" s="753"/>
    </row>
    <row r="58" spans="1:120" s="43" customFormat="1" ht="7.5" customHeight="1" x14ac:dyDescent="0.25">
      <c r="A58"/>
      <c r="B58" s="46"/>
      <c r="C58" s="46"/>
      <c r="D58" s="47"/>
      <c r="E58" s="47"/>
      <c r="F58" s="47"/>
      <c r="G58" s="47"/>
      <c r="H58" s="150"/>
      <c r="I58" s="152"/>
      <c r="J58" s="150"/>
      <c r="K58" s="152"/>
      <c r="M58" s="152"/>
      <c r="N58" s="753"/>
      <c r="O58" s="753"/>
      <c r="P58" s="786"/>
      <c r="Q58" s="786"/>
      <c r="R58" s="753"/>
      <c r="S58" s="753"/>
      <c r="T58" s="753"/>
      <c r="U58" s="753"/>
      <c r="V58" s="753"/>
      <c r="W58" s="753"/>
      <c r="X58" s="753"/>
      <c r="Y58" s="753"/>
      <c r="Z58" s="753"/>
      <c r="AA58" s="753"/>
      <c r="AB58" s="753"/>
      <c r="AC58" s="753"/>
      <c r="AD58" s="753"/>
      <c r="AE58" s="753"/>
      <c r="AF58" s="753"/>
      <c r="AG58" s="753"/>
      <c r="AH58" s="753"/>
      <c r="AI58" s="753"/>
      <c r="AJ58" s="753"/>
      <c r="AK58" s="753"/>
      <c r="AL58" s="753"/>
      <c r="AM58" s="753"/>
      <c r="AN58" s="753"/>
      <c r="AO58" s="753"/>
      <c r="AP58" s="753"/>
      <c r="AQ58" s="753"/>
      <c r="AR58" s="753"/>
      <c r="AS58" s="753"/>
      <c r="AT58" s="753"/>
      <c r="AU58" s="753"/>
      <c r="AV58" s="753"/>
      <c r="AW58" s="753"/>
      <c r="AX58" s="753"/>
      <c r="AY58" s="753"/>
      <c r="AZ58" s="753"/>
      <c r="BA58" s="753"/>
      <c r="BB58" s="753"/>
      <c r="BC58" s="753"/>
      <c r="BD58" s="753"/>
      <c r="BE58" s="753"/>
      <c r="BF58" s="753"/>
      <c r="BG58" s="753"/>
      <c r="BH58" s="753"/>
      <c r="BI58" s="753"/>
      <c r="BJ58" s="753"/>
      <c r="BK58" s="753"/>
      <c r="BL58" s="753"/>
      <c r="BM58" s="753"/>
      <c r="BN58" s="753"/>
      <c r="BO58" s="753"/>
      <c r="BP58" s="753"/>
      <c r="BQ58" s="753"/>
      <c r="BR58" s="753"/>
      <c r="BS58" s="753"/>
      <c r="BT58" s="753"/>
      <c r="BU58" s="753"/>
      <c r="BV58" s="753"/>
      <c r="BW58" s="753"/>
      <c r="BX58" s="753"/>
      <c r="BY58" s="753"/>
      <c r="BZ58" s="753"/>
      <c r="CA58" s="753"/>
      <c r="CB58" s="753"/>
      <c r="CC58" s="753"/>
      <c r="CD58" s="753"/>
      <c r="CE58" s="753"/>
      <c r="CF58" s="753"/>
      <c r="CG58" s="753"/>
      <c r="CH58" s="753"/>
      <c r="CI58" s="753"/>
      <c r="CJ58" s="753"/>
      <c r="CK58" s="753"/>
      <c r="CL58" s="753"/>
      <c r="CM58" s="753"/>
      <c r="CN58" s="753"/>
      <c r="CO58" s="753"/>
      <c r="CP58" s="753"/>
      <c r="CQ58" s="753"/>
      <c r="CR58" s="753"/>
      <c r="CS58" s="753"/>
      <c r="CT58" s="753"/>
      <c r="CU58" s="753"/>
      <c r="CV58" s="753"/>
      <c r="CW58" s="753"/>
      <c r="CX58" s="753"/>
      <c r="CY58" s="753"/>
      <c r="CZ58" s="753"/>
      <c r="DA58" s="753"/>
      <c r="DB58" s="753"/>
      <c r="DC58" s="753"/>
      <c r="DD58" s="753"/>
      <c r="DE58" s="753"/>
      <c r="DF58" s="753"/>
      <c r="DG58" s="753"/>
      <c r="DH58" s="753"/>
      <c r="DI58" s="753"/>
      <c r="DJ58" s="753"/>
      <c r="DK58" s="753"/>
      <c r="DL58" s="753"/>
      <c r="DM58" s="753"/>
      <c r="DN58" s="753"/>
      <c r="DO58" s="753"/>
      <c r="DP58" s="753"/>
    </row>
    <row r="59" spans="1:120" s="43" customFormat="1" ht="20.25" x14ac:dyDescent="0.25">
      <c r="A59"/>
      <c r="B59" s="42"/>
      <c r="C59" s="42"/>
      <c r="D59" s="42" t="s">
        <v>626</v>
      </c>
      <c r="E59" s="42"/>
      <c r="F59" s="42"/>
      <c r="G59" s="42"/>
      <c r="H59" s="153"/>
      <c r="I59" s="153">
        <f>I50+I57</f>
        <v>217802.27000000002</v>
      </c>
      <c r="J59" s="153"/>
      <c r="K59" s="153">
        <f>K50+K57</f>
        <v>284487.71000000002</v>
      </c>
      <c r="L59" s="161"/>
      <c r="M59" s="153">
        <f>M50+M57</f>
        <v>403592.50000000006</v>
      </c>
      <c r="N59" s="753"/>
      <c r="O59" s="753"/>
      <c r="P59" s="786">
        <v>218094</v>
      </c>
      <c r="Q59" s="786">
        <f>I59-P59</f>
        <v>-291.72999999998137</v>
      </c>
      <c r="R59" s="753"/>
      <c r="S59" s="753"/>
      <c r="T59" s="753"/>
      <c r="U59" s="753"/>
      <c r="V59" s="753"/>
      <c r="W59" s="753"/>
      <c r="X59" s="753"/>
      <c r="Y59" s="753"/>
      <c r="Z59" s="753"/>
      <c r="AA59" s="753"/>
      <c r="AB59" s="753"/>
      <c r="AC59" s="753"/>
      <c r="AD59" s="753"/>
      <c r="AE59" s="753"/>
      <c r="AF59" s="753"/>
      <c r="AG59" s="753"/>
      <c r="AH59" s="753"/>
      <c r="AI59" s="753"/>
      <c r="AJ59" s="753"/>
      <c r="AK59" s="753"/>
      <c r="AL59" s="753"/>
      <c r="AM59" s="753"/>
      <c r="AN59" s="753"/>
      <c r="AO59" s="753"/>
      <c r="AP59" s="753"/>
      <c r="AQ59" s="753"/>
      <c r="AR59" s="753"/>
      <c r="AS59" s="753"/>
      <c r="AT59" s="753"/>
      <c r="AU59" s="753"/>
      <c r="AV59" s="753"/>
      <c r="AW59" s="753"/>
      <c r="AX59" s="753"/>
      <c r="AY59" s="753"/>
      <c r="AZ59" s="753"/>
      <c r="BA59" s="753"/>
      <c r="BB59" s="753"/>
      <c r="BC59" s="753"/>
      <c r="BD59" s="753"/>
      <c r="BE59" s="753"/>
      <c r="BF59" s="753"/>
      <c r="BG59" s="753"/>
      <c r="BH59" s="753"/>
      <c r="BI59" s="753"/>
      <c r="BJ59" s="753"/>
      <c r="BK59" s="753"/>
      <c r="BL59" s="753"/>
      <c r="BM59" s="753"/>
      <c r="BN59" s="753"/>
      <c r="BO59" s="753"/>
      <c r="BP59" s="753"/>
      <c r="BQ59" s="753"/>
      <c r="BR59" s="753"/>
      <c r="BS59" s="753"/>
      <c r="BT59" s="753"/>
      <c r="BU59" s="753"/>
      <c r="BV59" s="753"/>
      <c r="BW59" s="753"/>
      <c r="BX59" s="753"/>
      <c r="BY59" s="753"/>
      <c r="BZ59" s="753"/>
      <c r="CA59" s="753"/>
      <c r="CB59" s="753"/>
      <c r="CC59" s="753"/>
      <c r="CD59" s="753"/>
      <c r="CE59" s="753"/>
      <c r="CF59" s="753"/>
      <c r="CG59" s="753"/>
      <c r="CH59" s="753"/>
      <c r="CI59" s="753"/>
      <c r="CJ59" s="753"/>
      <c r="CK59" s="753"/>
      <c r="CL59" s="753"/>
      <c r="CM59" s="753"/>
      <c r="CN59" s="753"/>
      <c r="CO59" s="753"/>
      <c r="CP59" s="753"/>
      <c r="CQ59" s="753"/>
      <c r="CR59" s="753"/>
      <c r="CS59" s="753"/>
      <c r="CT59" s="753"/>
      <c r="CU59" s="753"/>
      <c r="CV59" s="753"/>
      <c r="CW59" s="753"/>
      <c r="CX59" s="753"/>
      <c r="CY59" s="753"/>
      <c r="CZ59" s="753"/>
      <c r="DA59" s="753"/>
      <c r="DB59" s="753"/>
      <c r="DC59" s="753"/>
      <c r="DD59" s="753"/>
      <c r="DE59" s="753"/>
      <c r="DF59" s="753"/>
      <c r="DG59" s="753"/>
      <c r="DH59" s="753"/>
      <c r="DI59" s="753"/>
      <c r="DJ59" s="753"/>
      <c r="DK59" s="753"/>
      <c r="DL59" s="753"/>
      <c r="DM59" s="753"/>
      <c r="DN59" s="753"/>
      <c r="DO59" s="753"/>
      <c r="DP59" s="753"/>
    </row>
    <row r="60" spans="1:120" s="43" customFormat="1" ht="18.75" customHeight="1" x14ac:dyDescent="0.25">
      <c r="A60"/>
      <c r="B60" s="42"/>
      <c r="C60" s="42"/>
      <c r="D60" s="42"/>
      <c r="E60" s="42"/>
      <c r="F60" s="42"/>
      <c r="G60" s="42"/>
      <c r="H60" s="153"/>
      <c r="I60" s="153"/>
      <c r="J60" s="153"/>
      <c r="K60" s="153"/>
      <c r="M60" s="236"/>
      <c r="N60" s="753"/>
      <c r="O60" s="753"/>
      <c r="P60" s="786"/>
      <c r="Q60" s="786"/>
      <c r="R60" s="753"/>
      <c r="S60" s="753"/>
      <c r="T60" s="753"/>
      <c r="U60" s="753"/>
      <c r="V60" s="753"/>
      <c r="W60" s="753"/>
      <c r="X60" s="753"/>
      <c r="Y60" s="753"/>
      <c r="Z60" s="753"/>
      <c r="AA60" s="753"/>
      <c r="AB60" s="753"/>
      <c r="AC60" s="753"/>
      <c r="AD60" s="753"/>
      <c r="AE60" s="753"/>
      <c r="AF60" s="753"/>
      <c r="AG60" s="753"/>
      <c r="AH60" s="753"/>
      <c r="AI60" s="753"/>
      <c r="AJ60" s="753"/>
      <c r="AK60" s="753"/>
      <c r="AL60" s="753"/>
      <c r="AM60" s="753"/>
      <c r="AN60" s="753"/>
      <c r="AO60" s="753"/>
      <c r="AP60" s="753"/>
      <c r="AQ60" s="753"/>
      <c r="AR60" s="753"/>
      <c r="AS60" s="753"/>
      <c r="AT60" s="753"/>
      <c r="AU60" s="753"/>
      <c r="AV60" s="753"/>
      <c r="AW60" s="753"/>
      <c r="AX60" s="753"/>
      <c r="AY60" s="753"/>
      <c r="AZ60" s="753"/>
      <c r="BA60" s="753"/>
      <c r="BB60" s="753"/>
      <c r="BC60" s="753"/>
      <c r="BD60" s="753"/>
      <c r="BE60" s="753"/>
      <c r="BF60" s="753"/>
      <c r="BG60" s="753"/>
      <c r="BH60" s="753"/>
      <c r="BI60" s="753"/>
      <c r="BJ60" s="753"/>
      <c r="BK60" s="753"/>
      <c r="BL60" s="753"/>
      <c r="BM60" s="753"/>
      <c r="BN60" s="753"/>
      <c r="BO60" s="753"/>
      <c r="BP60" s="753"/>
      <c r="BQ60" s="753"/>
      <c r="BR60" s="753"/>
      <c r="BS60" s="753"/>
      <c r="BT60" s="753"/>
      <c r="BU60" s="753"/>
      <c r="BV60" s="753"/>
      <c r="BW60" s="753"/>
      <c r="BX60" s="753"/>
      <c r="BY60" s="753"/>
      <c r="BZ60" s="753"/>
      <c r="CA60" s="753"/>
      <c r="CB60" s="753"/>
      <c r="CC60" s="753"/>
      <c r="CD60" s="753"/>
      <c r="CE60" s="753"/>
      <c r="CF60" s="753"/>
      <c r="CG60" s="753"/>
      <c r="CH60" s="753"/>
      <c r="CI60" s="753"/>
      <c r="CJ60" s="753"/>
      <c r="CK60" s="753"/>
      <c r="CL60" s="753"/>
      <c r="CM60" s="753"/>
      <c r="CN60" s="753"/>
      <c r="CO60" s="753"/>
      <c r="CP60" s="753"/>
      <c r="CQ60" s="753"/>
      <c r="CR60" s="753"/>
      <c r="CS60" s="753"/>
      <c r="CT60" s="753"/>
      <c r="CU60" s="753"/>
      <c r="CV60" s="753"/>
      <c r="CW60" s="753"/>
      <c r="CX60" s="753"/>
      <c r="CY60" s="753"/>
      <c r="CZ60" s="753"/>
      <c r="DA60" s="753"/>
      <c r="DB60" s="753"/>
      <c r="DC60" s="753"/>
      <c r="DD60" s="753"/>
      <c r="DE60" s="753"/>
      <c r="DF60" s="753"/>
      <c r="DG60" s="753"/>
      <c r="DH60" s="753"/>
      <c r="DI60" s="753"/>
      <c r="DJ60" s="753"/>
      <c r="DK60" s="753"/>
      <c r="DL60" s="753"/>
      <c r="DM60" s="753"/>
      <c r="DN60" s="753"/>
      <c r="DO60" s="753"/>
      <c r="DP60" s="753"/>
    </row>
    <row r="61" spans="1:120" s="43" customFormat="1" ht="23.25" x14ac:dyDescent="0.25">
      <c r="A61"/>
      <c r="B61" s="42"/>
      <c r="C61" s="53" t="s">
        <v>627</v>
      </c>
      <c r="D61" s="54"/>
      <c r="E61" s="54"/>
      <c r="F61" s="54"/>
      <c r="G61" s="54"/>
      <c r="H61" s="150"/>
      <c r="I61" s="157"/>
      <c r="J61" s="150"/>
      <c r="K61" s="157"/>
      <c r="M61" s="157"/>
      <c r="N61" s="753"/>
      <c r="O61" s="753"/>
      <c r="P61" s="786"/>
      <c r="Q61" s="786"/>
      <c r="R61" s="753"/>
      <c r="S61" s="753"/>
      <c r="T61" s="753"/>
      <c r="U61" s="753"/>
      <c r="V61" s="753"/>
      <c r="W61" s="753"/>
      <c r="X61" s="753"/>
      <c r="Y61" s="753"/>
      <c r="Z61" s="753"/>
      <c r="AA61" s="753"/>
      <c r="AB61" s="753"/>
      <c r="AC61" s="753"/>
      <c r="AD61" s="753"/>
      <c r="AE61" s="753"/>
      <c r="AF61" s="753"/>
      <c r="AG61" s="753"/>
      <c r="AH61" s="753"/>
      <c r="AI61" s="753"/>
      <c r="AJ61" s="753"/>
      <c r="AK61" s="753"/>
      <c r="AL61" s="753"/>
      <c r="AM61" s="753"/>
      <c r="AN61" s="753"/>
      <c r="AO61" s="753"/>
      <c r="AP61" s="753"/>
      <c r="AQ61" s="753"/>
      <c r="AR61" s="753"/>
      <c r="AS61" s="753"/>
      <c r="AT61" s="753"/>
      <c r="AU61" s="753"/>
      <c r="AV61" s="753"/>
      <c r="AW61" s="753"/>
      <c r="AX61" s="753"/>
      <c r="AY61" s="753"/>
      <c r="AZ61" s="753"/>
      <c r="BA61" s="753"/>
      <c r="BB61" s="753"/>
      <c r="BC61" s="753"/>
      <c r="BD61" s="753"/>
      <c r="BE61" s="753"/>
      <c r="BF61" s="753"/>
      <c r="BG61" s="753"/>
      <c r="BH61" s="753"/>
      <c r="BI61" s="753"/>
      <c r="BJ61" s="753"/>
      <c r="BK61" s="753"/>
      <c r="BL61" s="753"/>
      <c r="BM61" s="753"/>
      <c r="BN61" s="753"/>
      <c r="BO61" s="753"/>
      <c r="BP61" s="753"/>
      <c r="BQ61" s="753"/>
      <c r="BR61" s="753"/>
      <c r="BS61" s="753"/>
      <c r="BT61" s="753"/>
      <c r="BU61" s="753"/>
      <c r="BV61" s="753"/>
      <c r="BW61" s="753"/>
      <c r="BX61" s="753"/>
      <c r="BY61" s="753"/>
      <c r="BZ61" s="753"/>
      <c r="CA61" s="753"/>
      <c r="CB61" s="753"/>
      <c r="CC61" s="753"/>
      <c r="CD61" s="753"/>
      <c r="CE61" s="753"/>
      <c r="CF61" s="753"/>
      <c r="CG61" s="753"/>
      <c r="CH61" s="753"/>
      <c r="CI61" s="753"/>
      <c r="CJ61" s="753"/>
      <c r="CK61" s="753"/>
      <c r="CL61" s="753"/>
      <c r="CM61" s="753"/>
      <c r="CN61" s="753"/>
      <c r="CO61" s="753"/>
      <c r="CP61" s="753"/>
      <c r="CQ61" s="753"/>
      <c r="CR61" s="753"/>
      <c r="CS61" s="753"/>
      <c r="CT61" s="753"/>
      <c r="CU61" s="753"/>
      <c r="CV61" s="753"/>
      <c r="CW61" s="753"/>
      <c r="CX61" s="753"/>
      <c r="CY61" s="753"/>
      <c r="CZ61" s="753"/>
      <c r="DA61" s="753"/>
      <c r="DB61" s="753"/>
      <c r="DC61" s="753"/>
      <c r="DD61" s="753"/>
      <c r="DE61" s="753"/>
      <c r="DF61" s="753"/>
      <c r="DG61" s="753"/>
      <c r="DH61" s="753"/>
      <c r="DI61" s="753"/>
      <c r="DJ61" s="753"/>
      <c r="DK61" s="753"/>
      <c r="DL61" s="753"/>
      <c r="DM61" s="753"/>
      <c r="DN61" s="753"/>
      <c r="DO61" s="753"/>
      <c r="DP61" s="753"/>
    </row>
    <row r="62" spans="1:120" s="43" customFormat="1" ht="20.25" x14ac:dyDescent="0.25">
      <c r="A62"/>
      <c r="B62" s="46"/>
      <c r="C62" s="46"/>
      <c r="E62" s="46" t="s">
        <v>628</v>
      </c>
      <c r="F62" s="46"/>
      <c r="G62" s="46"/>
      <c r="H62" s="150"/>
      <c r="I62" s="150">
        <f>1057476.5+35972.48+12500</f>
        <v>1105948.98</v>
      </c>
      <c r="J62" s="150"/>
      <c r="K62" s="150">
        <f>957416.19+35972.48+12500</f>
        <v>1005888.6699999999</v>
      </c>
      <c r="L62" s="161"/>
      <c r="M62" s="150">
        <f>854583+35972.48</f>
        <v>890555.48</v>
      </c>
      <c r="N62" s="753"/>
      <c r="O62" s="753"/>
      <c r="P62" s="786"/>
      <c r="Q62" s="786"/>
      <c r="R62" s="753"/>
      <c r="S62" s="753"/>
      <c r="T62" s="753"/>
      <c r="U62" s="753"/>
      <c r="V62" s="753"/>
      <c r="W62" s="753"/>
      <c r="X62" s="753"/>
      <c r="Y62" s="753"/>
      <c r="Z62" s="753"/>
      <c r="AA62" s="753"/>
      <c r="AB62" s="753"/>
      <c r="AC62" s="753"/>
      <c r="AD62" s="753"/>
      <c r="AE62" s="753"/>
      <c r="AF62" s="753"/>
      <c r="AG62" s="753"/>
      <c r="AH62" s="753"/>
      <c r="AI62" s="753"/>
      <c r="AJ62" s="753"/>
      <c r="AK62" s="753"/>
      <c r="AL62" s="753"/>
      <c r="AM62" s="753"/>
      <c r="AN62" s="753"/>
      <c r="AO62" s="753"/>
      <c r="AP62" s="753"/>
      <c r="AQ62" s="753"/>
      <c r="AR62" s="753"/>
      <c r="AS62" s="753"/>
      <c r="AT62" s="753"/>
      <c r="AU62" s="753"/>
      <c r="AV62" s="753"/>
      <c r="AW62" s="753"/>
      <c r="AX62" s="753"/>
      <c r="AY62" s="753"/>
      <c r="AZ62" s="753"/>
      <c r="BA62" s="753"/>
      <c r="BB62" s="753"/>
      <c r="BC62" s="753"/>
      <c r="BD62" s="753"/>
      <c r="BE62" s="753"/>
      <c r="BF62" s="753"/>
      <c r="BG62" s="753"/>
      <c r="BH62" s="753"/>
      <c r="BI62" s="753"/>
      <c r="BJ62" s="753"/>
      <c r="BK62" s="753"/>
      <c r="BL62" s="753"/>
      <c r="BM62" s="753"/>
      <c r="BN62" s="753"/>
      <c r="BO62" s="753"/>
      <c r="BP62" s="753"/>
      <c r="BQ62" s="753"/>
      <c r="BR62" s="753"/>
      <c r="BS62" s="753"/>
      <c r="BT62" s="753"/>
      <c r="BU62" s="753"/>
      <c r="BV62" s="753"/>
      <c r="BW62" s="753"/>
      <c r="BX62" s="753"/>
      <c r="BY62" s="753"/>
      <c r="BZ62" s="753"/>
      <c r="CA62" s="753"/>
      <c r="CB62" s="753"/>
      <c r="CC62" s="753"/>
      <c r="CD62" s="753"/>
      <c r="CE62" s="753"/>
      <c r="CF62" s="753"/>
      <c r="CG62" s="753"/>
      <c r="CH62" s="753"/>
      <c r="CI62" s="753"/>
      <c r="CJ62" s="753"/>
      <c r="CK62" s="753"/>
      <c r="CL62" s="753"/>
      <c r="CM62" s="753"/>
      <c r="CN62" s="753"/>
      <c r="CO62" s="753"/>
      <c r="CP62" s="753"/>
      <c r="CQ62" s="753"/>
      <c r="CR62" s="753"/>
      <c r="CS62" s="753"/>
      <c r="CT62" s="753"/>
      <c r="CU62" s="753"/>
      <c r="CV62" s="753"/>
      <c r="CW62" s="753"/>
      <c r="CX62" s="753"/>
      <c r="CY62" s="753"/>
      <c r="CZ62" s="753"/>
      <c r="DA62" s="753"/>
      <c r="DB62" s="753"/>
      <c r="DC62" s="753"/>
      <c r="DD62" s="753"/>
      <c r="DE62" s="753"/>
      <c r="DF62" s="753"/>
      <c r="DG62" s="753"/>
      <c r="DH62" s="753"/>
      <c r="DI62" s="753"/>
      <c r="DJ62" s="753"/>
      <c r="DK62" s="753"/>
      <c r="DL62" s="753"/>
      <c r="DM62" s="753"/>
      <c r="DN62" s="753"/>
      <c r="DO62" s="753"/>
      <c r="DP62" s="753"/>
    </row>
    <row r="63" spans="1:120" s="43" customFormat="1" ht="20.25" x14ac:dyDescent="0.25">
      <c r="A63"/>
      <c r="B63" s="46"/>
      <c r="C63" s="46"/>
      <c r="E63" s="46" t="s">
        <v>487</v>
      </c>
      <c r="F63" s="46"/>
      <c r="G63" s="46"/>
      <c r="H63" s="150"/>
      <c r="I63" s="150">
        <f>'August''25 Revenues &amp; Expenses'!M67</f>
        <v>83921.28333333334</v>
      </c>
      <c r="J63" s="150"/>
      <c r="K63" s="150">
        <v>64780.89</v>
      </c>
      <c r="L63" s="161"/>
      <c r="M63" s="150">
        <f>67320.28+12500</f>
        <v>79820.28</v>
      </c>
      <c r="N63" s="753"/>
      <c r="O63" s="753"/>
      <c r="P63" s="786"/>
      <c r="Q63" s="786"/>
      <c r="R63" s="753"/>
      <c r="S63" s="753"/>
      <c r="T63" s="753"/>
      <c r="U63" s="753"/>
      <c r="V63" s="753"/>
      <c r="W63" s="753"/>
      <c r="X63" s="753"/>
      <c r="Y63" s="753"/>
      <c r="Z63" s="753"/>
      <c r="AA63" s="753"/>
      <c r="AB63" s="753"/>
      <c r="AC63" s="753"/>
      <c r="AD63" s="753"/>
      <c r="AE63" s="753"/>
      <c r="AF63" s="753"/>
      <c r="AG63" s="753"/>
      <c r="AH63" s="753"/>
      <c r="AI63" s="753"/>
      <c r="AJ63" s="753"/>
      <c r="AK63" s="753"/>
      <c r="AL63" s="753"/>
      <c r="AM63" s="753"/>
      <c r="AN63" s="753"/>
      <c r="AO63" s="753"/>
      <c r="AP63" s="753"/>
      <c r="AQ63" s="753"/>
      <c r="AR63" s="753"/>
      <c r="AS63" s="753"/>
      <c r="AT63" s="753"/>
      <c r="AU63" s="753"/>
      <c r="AV63" s="753"/>
      <c r="AW63" s="753"/>
      <c r="AX63" s="753"/>
      <c r="AY63" s="753"/>
      <c r="AZ63" s="753"/>
      <c r="BA63" s="753"/>
      <c r="BB63" s="753"/>
      <c r="BC63" s="753"/>
      <c r="BD63" s="753"/>
      <c r="BE63" s="753"/>
      <c r="BF63" s="753"/>
      <c r="BG63" s="753"/>
      <c r="BH63" s="753"/>
      <c r="BI63" s="753"/>
      <c r="BJ63" s="753"/>
      <c r="BK63" s="753"/>
      <c r="BL63" s="753"/>
      <c r="BM63" s="753"/>
      <c r="BN63" s="753"/>
      <c r="BO63" s="753"/>
      <c r="BP63" s="753"/>
      <c r="BQ63" s="753"/>
      <c r="BR63" s="753"/>
      <c r="BS63" s="753"/>
      <c r="BT63" s="753"/>
      <c r="BU63" s="753"/>
      <c r="BV63" s="753"/>
      <c r="BW63" s="753"/>
      <c r="BX63" s="753"/>
      <c r="BY63" s="753"/>
      <c r="BZ63" s="753"/>
      <c r="CA63" s="753"/>
      <c r="CB63" s="753"/>
      <c r="CC63" s="753"/>
      <c r="CD63" s="753"/>
      <c r="CE63" s="753"/>
      <c r="CF63" s="753"/>
      <c r="CG63" s="753"/>
      <c r="CH63" s="753"/>
      <c r="CI63" s="753"/>
      <c r="CJ63" s="753"/>
      <c r="CK63" s="753"/>
      <c r="CL63" s="753"/>
      <c r="CM63" s="753"/>
      <c r="CN63" s="753"/>
      <c r="CO63" s="753"/>
      <c r="CP63" s="753"/>
      <c r="CQ63" s="753"/>
      <c r="CR63" s="753"/>
      <c r="CS63" s="753"/>
      <c r="CT63" s="753"/>
      <c r="CU63" s="753"/>
      <c r="CV63" s="753"/>
      <c r="CW63" s="753"/>
      <c r="CX63" s="753"/>
      <c r="CY63" s="753"/>
      <c r="CZ63" s="753"/>
      <c r="DA63" s="753"/>
      <c r="DB63" s="753"/>
      <c r="DC63" s="753"/>
      <c r="DD63" s="753"/>
      <c r="DE63" s="753"/>
      <c r="DF63" s="753"/>
      <c r="DG63" s="753"/>
      <c r="DH63" s="753"/>
      <c r="DI63" s="753"/>
      <c r="DJ63" s="753"/>
      <c r="DK63" s="753"/>
      <c r="DL63" s="753"/>
      <c r="DM63" s="753"/>
      <c r="DN63" s="753"/>
      <c r="DO63" s="753"/>
      <c r="DP63" s="753"/>
    </row>
    <row r="64" spans="1:120" s="43" customFormat="1" ht="20.25" x14ac:dyDescent="0.25">
      <c r="A64"/>
      <c r="B64" s="42"/>
      <c r="C64" s="42"/>
      <c r="E64" s="46" t="s">
        <v>130</v>
      </c>
      <c r="F64" s="42"/>
      <c r="G64" s="54"/>
      <c r="H64" s="150"/>
      <c r="I64" s="157">
        <f>'August''25 State of Activities'!H58</f>
        <v>84936.350000000093</v>
      </c>
      <c r="J64" s="150"/>
      <c r="K64" s="157">
        <v>74464.23</v>
      </c>
      <c r="M64" s="157">
        <f>'[3]December''24 State of Activities'!J58</f>
        <v>-9320.7060000000056</v>
      </c>
      <c r="N64" s="753"/>
      <c r="O64" s="753"/>
      <c r="P64" s="786"/>
      <c r="Q64" s="786"/>
      <c r="R64" s="753"/>
      <c r="S64" s="753"/>
      <c r="T64" s="753"/>
      <c r="U64" s="753"/>
      <c r="V64" s="753"/>
      <c r="W64" s="753"/>
      <c r="X64" s="753"/>
      <c r="Y64" s="753"/>
      <c r="Z64" s="753"/>
      <c r="AA64" s="753"/>
      <c r="AB64" s="753"/>
      <c r="AC64" s="753"/>
      <c r="AD64" s="753"/>
      <c r="AE64" s="753"/>
      <c r="AF64" s="753"/>
      <c r="AG64" s="753"/>
      <c r="AH64" s="753"/>
      <c r="AI64" s="753"/>
      <c r="AJ64" s="753"/>
      <c r="AK64" s="753"/>
      <c r="AL64" s="753"/>
      <c r="AM64" s="753"/>
      <c r="AN64" s="753"/>
      <c r="AO64" s="753"/>
      <c r="AP64" s="753"/>
      <c r="AQ64" s="753"/>
      <c r="AR64" s="753"/>
      <c r="AS64" s="753"/>
      <c r="AT64" s="753"/>
      <c r="AU64" s="753"/>
      <c r="AV64" s="753"/>
      <c r="AW64" s="753"/>
      <c r="AX64" s="753"/>
      <c r="AY64" s="753"/>
      <c r="AZ64" s="753"/>
      <c r="BA64" s="753"/>
      <c r="BB64" s="753"/>
      <c r="BC64" s="753"/>
      <c r="BD64" s="753"/>
      <c r="BE64" s="753"/>
      <c r="BF64" s="753"/>
      <c r="BG64" s="753"/>
      <c r="BH64" s="753"/>
      <c r="BI64" s="753"/>
      <c r="BJ64" s="753"/>
      <c r="BK64" s="753"/>
      <c r="BL64" s="753"/>
      <c r="BM64" s="753"/>
      <c r="BN64" s="753"/>
      <c r="BO64" s="753"/>
      <c r="BP64" s="753"/>
      <c r="BQ64" s="753"/>
      <c r="BR64" s="753"/>
      <c r="BS64" s="753"/>
      <c r="BT64" s="753"/>
      <c r="BU64" s="753"/>
      <c r="BV64" s="753"/>
      <c r="BW64" s="753"/>
      <c r="BX64" s="753"/>
      <c r="BY64" s="753"/>
      <c r="BZ64" s="753"/>
      <c r="CA64" s="753"/>
      <c r="CB64" s="753"/>
      <c r="CC64" s="753"/>
      <c r="CD64" s="753"/>
      <c r="CE64" s="753"/>
      <c r="CF64" s="753"/>
      <c r="CG64" s="753"/>
      <c r="CH64" s="753"/>
      <c r="CI64" s="753"/>
      <c r="CJ64" s="753"/>
      <c r="CK64" s="753"/>
      <c r="CL64" s="753"/>
      <c r="CM64" s="753"/>
      <c r="CN64" s="753"/>
      <c r="CO64" s="753"/>
      <c r="CP64" s="753"/>
      <c r="CQ64" s="753"/>
      <c r="CR64" s="753"/>
      <c r="CS64" s="753"/>
      <c r="CT64" s="753"/>
      <c r="CU64" s="753"/>
      <c r="CV64" s="753"/>
      <c r="CW64" s="753"/>
      <c r="CX64" s="753"/>
      <c r="CY64" s="753"/>
      <c r="CZ64" s="753"/>
      <c r="DA64" s="753"/>
      <c r="DB64" s="753"/>
      <c r="DC64" s="753"/>
      <c r="DD64" s="753"/>
      <c r="DE64" s="753"/>
      <c r="DF64" s="753"/>
      <c r="DG64" s="753"/>
      <c r="DH64" s="753"/>
      <c r="DI64" s="753"/>
      <c r="DJ64" s="753"/>
      <c r="DK64" s="753"/>
      <c r="DL64" s="753"/>
      <c r="DM64" s="753"/>
      <c r="DN64" s="753"/>
      <c r="DO64" s="753"/>
      <c r="DP64" s="753"/>
    </row>
    <row r="65" spans="1:120" s="43" customFormat="1" ht="23.25" x14ac:dyDescent="0.25">
      <c r="A65"/>
      <c r="B65" s="42"/>
      <c r="C65" s="56" t="s">
        <v>629</v>
      </c>
      <c r="D65" s="57"/>
      <c r="E65" s="57"/>
      <c r="F65" s="57"/>
      <c r="G65" s="42"/>
      <c r="H65" s="153"/>
      <c r="I65" s="153">
        <f>ROUND(SUM(I62:I64),5)</f>
        <v>1274806.6133300001</v>
      </c>
      <c r="J65" s="153"/>
      <c r="K65" s="153">
        <f>ROUND(SUM(K62:K64),5)</f>
        <v>1145133.79</v>
      </c>
      <c r="M65" s="153">
        <f>ROUND(SUM(M61:M64),5)</f>
        <v>961055.054</v>
      </c>
      <c r="N65" s="753"/>
      <c r="O65" s="753"/>
      <c r="P65" s="786"/>
      <c r="Q65" s="786"/>
      <c r="R65" s="753"/>
      <c r="S65" s="753"/>
      <c r="T65" s="753"/>
      <c r="U65" s="753"/>
      <c r="V65" s="753"/>
      <c r="W65" s="753"/>
      <c r="X65" s="753"/>
      <c r="Y65" s="753"/>
      <c r="Z65" s="753"/>
      <c r="AA65" s="753"/>
      <c r="AB65" s="753"/>
      <c r="AC65" s="753"/>
      <c r="AD65" s="753"/>
      <c r="AE65" s="753"/>
      <c r="AF65" s="753"/>
      <c r="AG65" s="753"/>
      <c r="AH65" s="753"/>
      <c r="AI65" s="753"/>
      <c r="AJ65" s="753"/>
      <c r="AK65" s="753"/>
      <c r="AL65" s="753"/>
      <c r="AM65" s="753"/>
      <c r="AN65" s="753"/>
      <c r="AO65" s="753"/>
      <c r="AP65" s="753"/>
      <c r="AQ65" s="753"/>
      <c r="AR65" s="753"/>
      <c r="AS65" s="753"/>
      <c r="AT65" s="753"/>
      <c r="AU65" s="753"/>
      <c r="AV65" s="753"/>
      <c r="AW65" s="753"/>
      <c r="AX65" s="753"/>
      <c r="AY65" s="753"/>
      <c r="AZ65" s="753"/>
      <c r="BA65" s="753"/>
      <c r="BB65" s="753"/>
      <c r="BC65" s="753"/>
      <c r="BD65" s="753"/>
      <c r="BE65" s="753"/>
      <c r="BF65" s="753"/>
      <c r="BG65" s="753"/>
      <c r="BH65" s="753"/>
      <c r="BI65" s="753"/>
      <c r="BJ65" s="753"/>
      <c r="BK65" s="753"/>
      <c r="BL65" s="753"/>
      <c r="BM65" s="753"/>
      <c r="BN65" s="753"/>
      <c r="BO65" s="753"/>
      <c r="BP65" s="753"/>
      <c r="BQ65" s="753"/>
      <c r="BR65" s="753"/>
      <c r="BS65" s="753"/>
      <c r="BT65" s="753"/>
      <c r="BU65" s="753"/>
      <c r="BV65" s="753"/>
      <c r="BW65" s="753"/>
      <c r="BX65" s="753"/>
      <c r="BY65" s="753"/>
      <c r="BZ65" s="753"/>
      <c r="CA65" s="753"/>
      <c r="CB65" s="753"/>
      <c r="CC65" s="753"/>
      <c r="CD65" s="753"/>
      <c r="CE65" s="753"/>
      <c r="CF65" s="753"/>
      <c r="CG65" s="753"/>
      <c r="CH65" s="753"/>
      <c r="CI65" s="753"/>
      <c r="CJ65" s="753"/>
      <c r="CK65" s="753"/>
      <c r="CL65" s="753"/>
      <c r="CM65" s="753"/>
      <c r="CN65" s="753"/>
      <c r="CO65" s="753"/>
      <c r="CP65" s="753"/>
      <c r="CQ65" s="753"/>
      <c r="CR65" s="753"/>
      <c r="CS65" s="753"/>
      <c r="CT65" s="753"/>
      <c r="CU65" s="753"/>
      <c r="CV65" s="753"/>
      <c r="CW65" s="753"/>
      <c r="CX65" s="753"/>
      <c r="CY65" s="753"/>
      <c r="CZ65" s="753"/>
      <c r="DA65" s="753"/>
      <c r="DB65" s="753"/>
      <c r="DC65" s="753"/>
      <c r="DD65" s="753"/>
      <c r="DE65" s="753"/>
      <c r="DF65" s="753"/>
      <c r="DG65" s="753"/>
      <c r="DH65" s="753"/>
      <c r="DI65" s="753"/>
      <c r="DJ65" s="753"/>
      <c r="DK65" s="753"/>
      <c r="DL65" s="753"/>
      <c r="DM65" s="753"/>
      <c r="DN65" s="753"/>
      <c r="DO65" s="753"/>
      <c r="DP65" s="753"/>
    </row>
    <row r="66" spans="1:120" s="43" customFormat="1" ht="12.75" customHeight="1" x14ac:dyDescent="0.25">
      <c r="A66"/>
      <c r="B66" s="42"/>
      <c r="C66" s="42"/>
      <c r="D66" s="42"/>
      <c r="E66" s="42"/>
      <c r="F66" s="42"/>
      <c r="G66" s="42"/>
      <c r="H66" s="150"/>
      <c r="I66" s="152"/>
      <c r="J66" s="150"/>
      <c r="K66" s="152"/>
      <c r="M66" s="152"/>
      <c r="N66" s="753"/>
      <c r="O66" s="753"/>
      <c r="P66" s="786"/>
      <c r="Q66" s="786"/>
      <c r="R66" s="753"/>
      <c r="S66" s="753"/>
      <c r="T66" s="753"/>
      <c r="U66" s="753"/>
      <c r="V66" s="753"/>
      <c r="W66" s="753"/>
      <c r="X66" s="753"/>
      <c r="Y66" s="753"/>
      <c r="Z66" s="753"/>
      <c r="AA66" s="753"/>
      <c r="AB66" s="753"/>
      <c r="AC66" s="753"/>
      <c r="AD66" s="753"/>
      <c r="AE66" s="753"/>
      <c r="AF66" s="753"/>
      <c r="AG66" s="753"/>
      <c r="AH66" s="753"/>
      <c r="AI66" s="753"/>
      <c r="AJ66" s="753"/>
      <c r="AK66" s="753"/>
      <c r="AL66" s="753"/>
      <c r="AM66" s="753"/>
      <c r="AN66" s="753"/>
      <c r="AO66" s="753"/>
      <c r="AP66" s="753"/>
      <c r="AQ66" s="753"/>
      <c r="AR66" s="753"/>
      <c r="AS66" s="753"/>
      <c r="AT66" s="753"/>
      <c r="AU66" s="753"/>
      <c r="AV66" s="753"/>
      <c r="AW66" s="753"/>
      <c r="AX66" s="753"/>
      <c r="AY66" s="753"/>
      <c r="AZ66" s="753"/>
      <c r="BA66" s="753"/>
      <c r="BB66" s="753"/>
      <c r="BC66" s="753"/>
      <c r="BD66" s="753"/>
      <c r="BE66" s="753"/>
      <c r="BF66" s="753"/>
      <c r="BG66" s="753"/>
      <c r="BH66" s="753"/>
      <c r="BI66" s="753"/>
      <c r="BJ66" s="753"/>
      <c r="BK66" s="753"/>
      <c r="BL66" s="753"/>
      <c r="BM66" s="753"/>
      <c r="BN66" s="753"/>
      <c r="BO66" s="753"/>
      <c r="BP66" s="753"/>
      <c r="BQ66" s="753"/>
      <c r="BR66" s="753"/>
      <c r="BS66" s="753"/>
      <c r="BT66" s="753"/>
      <c r="BU66" s="753"/>
      <c r="BV66" s="753"/>
      <c r="BW66" s="753"/>
      <c r="BX66" s="753"/>
      <c r="BY66" s="753"/>
      <c r="BZ66" s="753"/>
      <c r="CA66" s="753"/>
      <c r="CB66" s="753"/>
      <c r="CC66" s="753"/>
      <c r="CD66" s="753"/>
      <c r="CE66" s="753"/>
      <c r="CF66" s="753"/>
      <c r="CG66" s="753"/>
      <c r="CH66" s="753"/>
      <c r="CI66" s="753"/>
      <c r="CJ66" s="753"/>
      <c r="CK66" s="753"/>
      <c r="CL66" s="753"/>
      <c r="CM66" s="753"/>
      <c r="CN66" s="753"/>
      <c r="CO66" s="753"/>
      <c r="CP66" s="753"/>
      <c r="CQ66" s="753"/>
      <c r="CR66" s="753"/>
      <c r="CS66" s="753"/>
      <c r="CT66" s="753"/>
      <c r="CU66" s="753"/>
      <c r="CV66" s="753"/>
      <c r="CW66" s="753"/>
      <c r="CX66" s="753"/>
      <c r="CY66" s="753"/>
      <c r="CZ66" s="753"/>
      <c r="DA66" s="753"/>
      <c r="DB66" s="753"/>
      <c r="DC66" s="753"/>
      <c r="DD66" s="753"/>
      <c r="DE66" s="753"/>
      <c r="DF66" s="753"/>
      <c r="DG66" s="753"/>
      <c r="DH66" s="753"/>
      <c r="DI66" s="753"/>
      <c r="DJ66" s="753"/>
      <c r="DK66" s="753"/>
      <c r="DL66" s="753"/>
      <c r="DM66" s="753"/>
      <c r="DN66" s="753"/>
      <c r="DO66" s="753"/>
      <c r="DP66" s="753"/>
    </row>
    <row r="67" spans="1:120" s="50" customFormat="1" ht="26.25" x14ac:dyDescent="0.25">
      <c r="A67"/>
      <c r="B67" s="49" t="s">
        <v>630</v>
      </c>
      <c r="C67" s="49"/>
      <c r="D67" s="49"/>
      <c r="E67" s="49"/>
      <c r="F67" s="49"/>
      <c r="G67" s="49"/>
      <c r="H67" s="176"/>
      <c r="I67" s="247">
        <f>SUM(I59+I65)</f>
        <v>1492608.8833300001</v>
      </c>
      <c r="J67" s="176"/>
      <c r="K67" s="247">
        <f>SUM(K59+K65)</f>
        <v>1429621.5</v>
      </c>
      <c r="M67" s="247">
        <f>SUM(M59+M65)</f>
        <v>1364647.554</v>
      </c>
      <c r="N67" s="753"/>
      <c r="O67" s="753"/>
      <c r="P67" s="786">
        <v>1489609.01</v>
      </c>
      <c r="Q67" s="786">
        <f>I67-P67</f>
        <v>2999.8733300000895</v>
      </c>
      <c r="R67" s="753"/>
      <c r="S67" s="753"/>
      <c r="T67" s="753"/>
      <c r="U67" s="753"/>
      <c r="V67" s="753"/>
      <c r="W67" s="753"/>
      <c r="X67" s="753"/>
      <c r="Y67" s="753"/>
      <c r="Z67" s="753"/>
      <c r="AA67" s="753"/>
      <c r="AB67" s="753"/>
      <c r="AC67" s="753"/>
      <c r="AD67" s="753"/>
      <c r="AE67" s="753"/>
      <c r="AF67" s="753"/>
      <c r="AG67" s="753"/>
      <c r="AH67" s="753"/>
      <c r="AI67" s="753"/>
      <c r="AJ67" s="753"/>
      <c r="AK67" s="753"/>
      <c r="AL67" s="753"/>
      <c r="AM67" s="753"/>
      <c r="AN67" s="753"/>
      <c r="AO67" s="753"/>
      <c r="AP67" s="753"/>
      <c r="AQ67" s="753"/>
      <c r="AR67" s="753"/>
      <c r="AS67" s="753"/>
      <c r="AT67" s="753"/>
      <c r="AU67" s="753"/>
      <c r="AV67" s="753"/>
      <c r="AW67" s="753"/>
      <c r="AX67" s="753"/>
      <c r="AY67" s="753"/>
      <c r="AZ67" s="753"/>
      <c r="BA67" s="753"/>
      <c r="BB67" s="753"/>
      <c r="BC67" s="753"/>
      <c r="BD67" s="753"/>
      <c r="BE67" s="753"/>
      <c r="BF67" s="753"/>
      <c r="BG67" s="753"/>
      <c r="BH67" s="753"/>
      <c r="BI67" s="753"/>
      <c r="BJ67" s="753"/>
      <c r="BK67" s="753"/>
      <c r="BL67" s="753"/>
      <c r="BM67" s="753"/>
      <c r="BN67" s="753"/>
      <c r="BO67" s="753"/>
      <c r="BP67" s="753"/>
      <c r="BQ67" s="753"/>
      <c r="BR67" s="753"/>
      <c r="BS67" s="753"/>
      <c r="BT67" s="753"/>
      <c r="BU67" s="753"/>
      <c r="BV67" s="753"/>
      <c r="BW67" s="753"/>
      <c r="BX67" s="753"/>
      <c r="BY67" s="753"/>
      <c r="BZ67" s="753"/>
      <c r="CA67" s="753"/>
      <c r="CB67" s="753"/>
      <c r="CC67" s="753"/>
      <c r="CD67" s="753"/>
      <c r="CE67" s="753"/>
      <c r="CF67" s="753"/>
      <c r="CG67" s="753"/>
      <c r="CH67" s="753"/>
      <c r="CI67" s="753"/>
      <c r="CJ67" s="753"/>
      <c r="CK67" s="753"/>
      <c r="CL67" s="753"/>
      <c r="CM67" s="753"/>
      <c r="CN67" s="753"/>
      <c r="CO67" s="753"/>
      <c r="CP67" s="753"/>
      <c r="CQ67" s="753"/>
      <c r="CR67" s="753"/>
      <c r="CS67" s="753"/>
      <c r="CT67" s="753"/>
      <c r="CU67" s="753"/>
      <c r="CV67" s="753"/>
      <c r="CW67" s="753"/>
      <c r="CX67" s="753"/>
      <c r="CY67" s="753"/>
      <c r="CZ67" s="753"/>
      <c r="DA67" s="753"/>
      <c r="DB67" s="753"/>
      <c r="DC67" s="753"/>
      <c r="DD67" s="753"/>
      <c r="DE67" s="753"/>
      <c r="DF67" s="753"/>
      <c r="DG67" s="753"/>
      <c r="DH67" s="753"/>
      <c r="DI67" s="753"/>
      <c r="DJ67" s="753"/>
      <c r="DK67" s="753"/>
      <c r="DL67" s="753"/>
      <c r="DM67" s="753"/>
      <c r="DN67" s="753"/>
      <c r="DO67" s="753"/>
      <c r="DP67" s="753"/>
    </row>
    <row r="68" spans="1:120" ht="18.75" thickTop="1" x14ac:dyDescent="0.25">
      <c r="E68" s="237"/>
      <c r="N68" s="753"/>
      <c r="P68" s="786"/>
      <c r="Q68" s="786"/>
      <c r="U68" s="753"/>
      <c r="V68" s="753"/>
      <c r="W68" s="753"/>
      <c r="X68" s="753"/>
      <c r="Y68" s="753"/>
      <c r="Z68" s="753"/>
      <c r="AA68" s="753"/>
      <c r="AB68" s="753"/>
      <c r="AC68" s="753"/>
      <c r="AD68" s="753"/>
      <c r="AE68" s="753"/>
      <c r="AF68" s="753"/>
      <c r="AG68" s="753"/>
      <c r="AH68" s="753"/>
      <c r="AI68" s="753"/>
      <c r="AJ68" s="753"/>
      <c r="AK68" s="753"/>
      <c r="AL68" s="753"/>
      <c r="AM68" s="753"/>
      <c r="AN68" s="753"/>
      <c r="AO68" s="753"/>
      <c r="AP68" s="753"/>
      <c r="AQ68" s="753"/>
      <c r="AR68" s="753"/>
      <c r="AS68" s="753"/>
      <c r="AT68" s="753"/>
      <c r="AU68" s="753"/>
      <c r="AV68" s="753"/>
      <c r="AW68" s="753"/>
      <c r="AX68" s="753"/>
      <c r="AY68" s="753"/>
      <c r="AZ68" s="753"/>
      <c r="BA68" s="753"/>
      <c r="BB68" s="753"/>
      <c r="BC68" s="753"/>
      <c r="BD68" s="753"/>
      <c r="BE68" s="753"/>
      <c r="BF68" s="753"/>
      <c r="BG68" s="753"/>
      <c r="BH68" s="753"/>
      <c r="BI68" s="753"/>
      <c r="BJ68" s="753"/>
      <c r="BK68" s="753"/>
      <c r="BL68" s="753"/>
      <c r="BM68" s="753"/>
      <c r="BN68" s="753"/>
      <c r="BO68" s="753"/>
      <c r="BP68" s="753"/>
      <c r="BQ68" s="753"/>
      <c r="BR68" s="753"/>
      <c r="BS68" s="753"/>
      <c r="BT68" s="753"/>
      <c r="BU68" s="753"/>
      <c r="BV68" s="753"/>
      <c r="BW68" s="753"/>
      <c r="BX68" s="753"/>
      <c r="BY68" s="753"/>
      <c r="BZ68" s="753"/>
      <c r="CA68" s="753"/>
      <c r="CB68" s="753"/>
      <c r="CC68" s="753"/>
      <c r="CD68" s="753"/>
      <c r="CE68" s="753"/>
      <c r="CF68" s="753"/>
      <c r="CG68" s="753"/>
      <c r="CH68" s="753"/>
      <c r="CI68" s="753"/>
      <c r="CJ68" s="753"/>
      <c r="CK68" s="753"/>
      <c r="CL68" s="753"/>
      <c r="CM68" s="753"/>
      <c r="CN68" s="753"/>
      <c r="CO68" s="753"/>
      <c r="CP68" s="753"/>
      <c r="CQ68" s="753"/>
      <c r="CR68" s="753"/>
      <c r="CS68" s="753"/>
      <c r="CT68" s="753"/>
      <c r="CU68" s="753"/>
      <c r="CV68" s="753"/>
      <c r="CW68" s="753"/>
      <c r="CX68" s="753"/>
      <c r="CY68" s="753"/>
      <c r="CZ68" s="753"/>
      <c r="DA68" s="753"/>
      <c r="DB68" s="753"/>
      <c r="DC68" s="753"/>
      <c r="DD68" s="753"/>
      <c r="DE68" s="753"/>
      <c r="DF68" s="753"/>
      <c r="DG68" s="753"/>
      <c r="DH68" s="753"/>
      <c r="DI68" s="753"/>
      <c r="DJ68" s="753"/>
      <c r="DK68" s="753"/>
      <c r="DL68" s="753"/>
      <c r="DM68" s="753"/>
      <c r="DN68" s="753"/>
      <c r="DO68" s="753"/>
      <c r="DP68" s="753"/>
    </row>
    <row r="69" spans="1:120" hidden="1" x14ac:dyDescent="0.25">
      <c r="H69" s="163"/>
      <c r="I69" s="163"/>
      <c r="J69" s="163"/>
      <c r="K69" s="163"/>
      <c r="M69" s="163"/>
      <c r="N69" s="753"/>
      <c r="U69" s="753"/>
      <c r="V69" s="753"/>
      <c r="W69" s="753"/>
      <c r="X69" s="753"/>
      <c r="Y69" s="753"/>
      <c r="Z69" s="753"/>
      <c r="AA69" s="753"/>
      <c r="AB69" s="753"/>
      <c r="AC69" s="753"/>
      <c r="AD69" s="753"/>
      <c r="AE69" s="753"/>
      <c r="AF69" s="753"/>
      <c r="AG69" s="753"/>
      <c r="AH69" s="753"/>
      <c r="AI69" s="753"/>
      <c r="AJ69" s="753"/>
      <c r="AK69" s="753"/>
      <c r="AL69" s="753"/>
      <c r="AM69" s="753"/>
      <c r="AN69" s="753"/>
      <c r="AO69" s="753"/>
      <c r="AP69" s="753"/>
      <c r="AQ69" s="753"/>
      <c r="AR69" s="753"/>
      <c r="AS69" s="753"/>
      <c r="AT69" s="753"/>
      <c r="AU69" s="753"/>
      <c r="AV69" s="753"/>
      <c r="AW69" s="753"/>
      <c r="AX69" s="753"/>
      <c r="AY69" s="753"/>
      <c r="AZ69" s="753"/>
      <c r="BA69" s="753"/>
      <c r="BB69" s="753"/>
      <c r="BC69" s="753"/>
      <c r="BD69" s="753"/>
      <c r="BE69" s="753"/>
      <c r="BF69" s="753"/>
      <c r="BG69" s="753"/>
      <c r="BH69" s="753"/>
      <c r="BI69" s="753"/>
      <c r="BJ69" s="753"/>
      <c r="BK69" s="753"/>
      <c r="BL69" s="753"/>
      <c r="BM69" s="753"/>
      <c r="BN69" s="753"/>
      <c r="BO69" s="753"/>
      <c r="BP69" s="753"/>
      <c r="BQ69" s="753"/>
      <c r="BR69" s="753"/>
      <c r="BS69" s="753"/>
      <c r="BT69" s="753"/>
      <c r="BU69" s="753"/>
      <c r="BV69" s="753"/>
      <c r="BW69" s="753"/>
      <c r="BX69" s="753"/>
      <c r="BY69" s="753"/>
      <c r="BZ69" s="753"/>
      <c r="CA69" s="753"/>
      <c r="CB69" s="753"/>
      <c r="CC69" s="753"/>
      <c r="CD69" s="753"/>
      <c r="CE69" s="753"/>
      <c r="CF69" s="753"/>
      <c r="CG69" s="753"/>
      <c r="CH69" s="753"/>
      <c r="CI69" s="753"/>
      <c r="CJ69" s="753"/>
      <c r="CK69" s="753"/>
      <c r="CL69" s="753"/>
      <c r="CM69" s="753"/>
      <c r="CN69" s="753"/>
      <c r="CO69" s="753"/>
      <c r="CP69" s="753"/>
      <c r="CQ69" s="753"/>
      <c r="CR69" s="753"/>
      <c r="CS69" s="753"/>
      <c r="CT69" s="753"/>
      <c r="CU69" s="753"/>
      <c r="CV69" s="753"/>
      <c r="CW69" s="753"/>
      <c r="CX69" s="753"/>
      <c r="CY69" s="753"/>
      <c r="CZ69" s="753"/>
      <c r="DA69" s="753"/>
      <c r="DB69" s="753"/>
      <c r="DC69" s="753"/>
      <c r="DD69" s="753"/>
      <c r="DE69" s="753"/>
      <c r="DF69" s="753"/>
      <c r="DG69" s="753"/>
      <c r="DH69" s="753"/>
      <c r="DI69" s="753"/>
      <c r="DJ69" s="753"/>
      <c r="DK69" s="753"/>
      <c r="DL69" s="753"/>
      <c r="DM69" s="753"/>
      <c r="DN69" s="753"/>
      <c r="DO69" s="753"/>
      <c r="DP69" s="753"/>
    </row>
    <row r="70" spans="1:120" ht="14.25" customHeight="1" x14ac:dyDescent="0.25">
      <c r="D70" s="883" t="s">
        <v>631</v>
      </c>
      <c r="E70" s="883"/>
      <c r="F70" s="883"/>
      <c r="G70" s="883"/>
      <c r="I70" s="286">
        <f>(I19+I16)/I59</f>
        <v>3.3909945933988652</v>
      </c>
      <c r="K70" s="286">
        <f>(K19+K16)/K59</f>
        <v>2.6607782810723175</v>
      </c>
      <c r="L70" s="161"/>
      <c r="M70" s="286">
        <f>(M19+M16)/M59</f>
        <v>1.882464664234345</v>
      </c>
      <c r="N70" s="753"/>
      <c r="U70" s="753"/>
      <c r="V70" s="753"/>
      <c r="W70" s="753"/>
      <c r="X70" s="753"/>
      <c r="Y70" s="753"/>
      <c r="Z70" s="753"/>
      <c r="AA70" s="753"/>
      <c r="AB70" s="753"/>
      <c r="AC70" s="753"/>
      <c r="AD70" s="753"/>
      <c r="AE70" s="753"/>
      <c r="AF70" s="753"/>
      <c r="AG70" s="753"/>
      <c r="AH70" s="753"/>
      <c r="AI70" s="753"/>
      <c r="AJ70" s="753"/>
      <c r="AK70" s="753"/>
      <c r="AL70" s="753"/>
      <c r="AM70" s="753"/>
      <c r="AN70" s="753"/>
      <c r="AO70" s="753"/>
      <c r="AP70" s="753"/>
      <c r="AQ70" s="753"/>
      <c r="AR70" s="753"/>
      <c r="AS70" s="753"/>
      <c r="AT70" s="753"/>
      <c r="AU70" s="753"/>
      <c r="AV70" s="753"/>
      <c r="AW70" s="753"/>
      <c r="AX70" s="753"/>
      <c r="AY70" s="753"/>
      <c r="AZ70" s="753"/>
      <c r="BA70" s="753"/>
      <c r="BB70" s="753"/>
      <c r="BC70" s="753"/>
      <c r="BD70" s="753"/>
      <c r="BE70" s="753"/>
      <c r="BF70" s="753"/>
      <c r="BG70" s="753"/>
      <c r="BH70" s="753"/>
      <c r="BI70" s="753"/>
      <c r="BJ70" s="753"/>
      <c r="BK70" s="753"/>
      <c r="BL70" s="753"/>
      <c r="BM70" s="753"/>
      <c r="BN70" s="753"/>
      <c r="BO70" s="753"/>
      <c r="BP70" s="753"/>
      <c r="BQ70" s="753"/>
      <c r="BR70" s="753"/>
      <c r="BS70" s="753"/>
      <c r="BT70" s="753"/>
      <c r="BU70" s="753"/>
      <c r="BV70" s="753"/>
      <c r="BW70" s="753"/>
      <c r="BX70" s="753"/>
      <c r="BY70" s="753"/>
      <c r="BZ70" s="753"/>
      <c r="CA70" s="753"/>
      <c r="CB70" s="753"/>
      <c r="CC70" s="753"/>
      <c r="CD70" s="753"/>
      <c r="CE70" s="753"/>
      <c r="CF70" s="753"/>
      <c r="CG70" s="753"/>
      <c r="CH70" s="753"/>
      <c r="CI70" s="753"/>
      <c r="CJ70" s="753"/>
      <c r="CK70" s="753"/>
      <c r="CL70" s="753"/>
      <c r="CM70" s="753"/>
      <c r="CN70" s="753"/>
      <c r="CO70" s="753"/>
      <c r="CP70" s="753"/>
      <c r="CQ70" s="753"/>
      <c r="CR70" s="753"/>
      <c r="CS70" s="753"/>
      <c r="CT70" s="753"/>
      <c r="CU70" s="753"/>
      <c r="CV70" s="753"/>
      <c r="CW70" s="753"/>
      <c r="CX70" s="753"/>
      <c r="CY70" s="753"/>
      <c r="CZ70" s="753"/>
      <c r="DA70" s="753"/>
      <c r="DB70" s="753"/>
      <c r="DC70" s="753"/>
      <c r="DD70" s="753"/>
      <c r="DE70" s="753"/>
      <c r="DF70" s="753"/>
      <c r="DG70" s="753"/>
      <c r="DH70" s="753"/>
      <c r="DI70" s="753"/>
      <c r="DJ70" s="753"/>
      <c r="DK70" s="753"/>
      <c r="DL70" s="753"/>
      <c r="DM70" s="753"/>
      <c r="DN70" s="753"/>
      <c r="DO70" s="753"/>
      <c r="DP70" s="753"/>
    </row>
    <row r="71" spans="1:120" x14ac:dyDescent="0.25">
      <c r="N71" s="753"/>
      <c r="U71" s="753"/>
      <c r="V71" s="753"/>
      <c r="W71" s="753"/>
      <c r="X71" s="753"/>
      <c r="Y71" s="753"/>
      <c r="Z71" s="753"/>
      <c r="AA71" s="753"/>
      <c r="AB71" s="753"/>
      <c r="AC71" s="753"/>
      <c r="AD71" s="753"/>
      <c r="AE71" s="753"/>
      <c r="AF71" s="753"/>
      <c r="AG71" s="753"/>
      <c r="AH71" s="753"/>
      <c r="AI71" s="753"/>
      <c r="AJ71" s="753"/>
      <c r="AK71" s="753"/>
      <c r="AL71" s="753"/>
      <c r="AM71" s="753"/>
      <c r="AN71" s="753"/>
      <c r="AO71" s="753"/>
      <c r="AP71" s="753"/>
      <c r="AQ71" s="753"/>
      <c r="AR71" s="753"/>
      <c r="AS71" s="753"/>
      <c r="AT71" s="753"/>
      <c r="AU71" s="753"/>
      <c r="AV71" s="753"/>
      <c r="AW71" s="753"/>
      <c r="AX71" s="753"/>
      <c r="AY71" s="753"/>
      <c r="AZ71" s="753"/>
      <c r="BA71" s="753"/>
      <c r="BB71" s="753"/>
      <c r="BC71" s="753"/>
      <c r="BD71" s="753"/>
      <c r="BE71" s="753"/>
      <c r="BF71" s="753"/>
      <c r="BG71" s="753"/>
      <c r="BH71" s="753"/>
      <c r="BI71" s="753"/>
      <c r="BJ71" s="753"/>
      <c r="BK71" s="753"/>
      <c r="BL71" s="753"/>
      <c r="BM71" s="753"/>
      <c r="BN71" s="753"/>
      <c r="BO71" s="753"/>
      <c r="BP71" s="753"/>
      <c r="BQ71" s="753"/>
      <c r="BR71" s="753"/>
      <c r="BS71" s="753"/>
      <c r="BT71" s="753"/>
      <c r="BU71" s="753"/>
      <c r="BV71" s="753"/>
      <c r="BW71" s="753"/>
      <c r="BX71" s="753"/>
      <c r="BY71" s="753"/>
      <c r="BZ71" s="753"/>
      <c r="CA71" s="753"/>
      <c r="CB71" s="753"/>
      <c r="CC71" s="753"/>
      <c r="CD71" s="753"/>
      <c r="CE71" s="753"/>
      <c r="CF71" s="753"/>
      <c r="CG71" s="753"/>
      <c r="CH71" s="753"/>
      <c r="CI71" s="753"/>
      <c r="CJ71" s="753"/>
      <c r="CK71" s="753"/>
      <c r="CL71" s="753"/>
      <c r="CM71" s="753"/>
      <c r="CN71" s="753"/>
      <c r="CO71" s="753"/>
      <c r="CP71" s="753"/>
      <c r="CQ71" s="753"/>
      <c r="CR71" s="753"/>
      <c r="CS71" s="753"/>
      <c r="CT71" s="753"/>
      <c r="CU71" s="753"/>
      <c r="CV71" s="753"/>
      <c r="CW71" s="753"/>
      <c r="CX71" s="753"/>
      <c r="CY71" s="753"/>
      <c r="CZ71" s="753"/>
      <c r="DA71" s="753"/>
      <c r="DB71" s="753"/>
      <c r="DC71" s="753"/>
      <c r="DD71" s="753"/>
      <c r="DE71" s="753"/>
      <c r="DF71" s="753"/>
      <c r="DG71" s="753"/>
      <c r="DH71" s="753"/>
      <c r="DI71" s="753"/>
      <c r="DJ71" s="753"/>
      <c r="DK71" s="753"/>
      <c r="DL71" s="753"/>
      <c r="DM71" s="753"/>
      <c r="DN71" s="753"/>
      <c r="DO71" s="753"/>
      <c r="DP71" s="753"/>
    </row>
    <row r="72" spans="1:120" x14ac:dyDescent="0.25">
      <c r="I72" s="163"/>
      <c r="N72" s="753"/>
      <c r="U72" s="753"/>
      <c r="V72" s="753"/>
      <c r="W72" s="753"/>
      <c r="X72" s="753"/>
      <c r="Y72" s="753"/>
      <c r="Z72" s="753"/>
      <c r="AA72" s="753"/>
      <c r="AB72" s="753"/>
      <c r="AC72" s="753"/>
      <c r="AD72" s="753"/>
      <c r="AE72" s="753"/>
      <c r="AF72" s="753"/>
      <c r="AG72" s="753"/>
      <c r="AH72" s="753"/>
      <c r="AI72" s="753"/>
      <c r="AJ72" s="753"/>
      <c r="AK72" s="753"/>
      <c r="AL72" s="753"/>
      <c r="AM72" s="753"/>
      <c r="AN72" s="753"/>
      <c r="AO72" s="753"/>
      <c r="AP72" s="753"/>
      <c r="AQ72" s="753"/>
      <c r="AR72" s="753"/>
      <c r="AS72" s="753"/>
      <c r="AT72" s="753"/>
      <c r="AU72" s="753"/>
      <c r="AV72" s="753"/>
      <c r="AW72" s="753"/>
      <c r="AX72" s="753"/>
      <c r="AY72" s="753"/>
      <c r="AZ72" s="753"/>
      <c r="BA72" s="753"/>
      <c r="BB72" s="753"/>
      <c r="BC72" s="753"/>
      <c r="BD72" s="753"/>
      <c r="BE72" s="753"/>
      <c r="BF72" s="753"/>
      <c r="BG72" s="753"/>
      <c r="BH72" s="753"/>
      <c r="BI72" s="753"/>
      <c r="BJ72" s="753"/>
      <c r="BK72" s="753"/>
      <c r="BL72" s="753"/>
      <c r="BM72" s="753"/>
      <c r="BN72" s="753"/>
      <c r="BO72" s="753"/>
      <c r="BP72" s="753"/>
      <c r="BQ72" s="753"/>
      <c r="BR72" s="753"/>
      <c r="BS72" s="753"/>
      <c r="BT72" s="753"/>
      <c r="BU72" s="753"/>
      <c r="BV72" s="753"/>
      <c r="BW72" s="753"/>
      <c r="BX72" s="753"/>
      <c r="BY72" s="753"/>
      <c r="BZ72" s="753"/>
      <c r="CA72" s="753"/>
      <c r="CB72" s="753"/>
      <c r="CC72" s="753"/>
      <c r="CD72" s="753"/>
      <c r="CE72" s="753"/>
      <c r="CF72" s="753"/>
      <c r="CG72" s="753"/>
      <c r="CH72" s="753"/>
      <c r="CI72" s="753"/>
      <c r="CJ72" s="753"/>
      <c r="CK72" s="753"/>
      <c r="CL72" s="753"/>
      <c r="CM72" s="753"/>
      <c r="CN72" s="753"/>
      <c r="CO72" s="753"/>
      <c r="CP72" s="753"/>
      <c r="CQ72" s="753"/>
      <c r="CR72" s="753"/>
      <c r="CS72" s="753"/>
      <c r="CT72" s="753"/>
      <c r="CU72" s="753"/>
      <c r="CV72" s="753"/>
      <c r="CW72" s="753"/>
      <c r="CX72" s="753"/>
      <c r="CY72" s="753"/>
      <c r="CZ72" s="753"/>
      <c r="DA72" s="753"/>
      <c r="DB72" s="753"/>
      <c r="DC72" s="753"/>
      <c r="DD72" s="753"/>
      <c r="DE72" s="753"/>
      <c r="DF72" s="753"/>
      <c r="DG72" s="753"/>
      <c r="DH72" s="753"/>
      <c r="DI72" s="753"/>
      <c r="DJ72" s="753"/>
      <c r="DK72" s="753"/>
      <c r="DL72" s="753"/>
      <c r="DM72" s="753"/>
      <c r="DN72" s="753"/>
      <c r="DO72" s="753"/>
      <c r="DP72" s="753"/>
    </row>
    <row r="73" spans="1:120" x14ac:dyDescent="0.25">
      <c r="N73" s="753"/>
      <c r="U73" s="753"/>
      <c r="V73" s="753"/>
      <c r="W73" s="753"/>
      <c r="X73" s="753"/>
      <c r="Y73" s="753"/>
      <c r="Z73" s="753"/>
      <c r="AA73" s="753"/>
      <c r="AB73" s="753"/>
      <c r="AC73" s="753"/>
      <c r="AD73" s="753"/>
      <c r="AE73" s="753"/>
      <c r="AF73" s="753"/>
      <c r="AG73" s="753"/>
      <c r="AH73" s="753"/>
      <c r="AI73" s="753"/>
      <c r="AJ73" s="753"/>
      <c r="AK73" s="753"/>
      <c r="AL73" s="753"/>
      <c r="AM73" s="753"/>
      <c r="AN73" s="753"/>
      <c r="AO73" s="753"/>
      <c r="AP73" s="753"/>
      <c r="AQ73" s="753"/>
      <c r="AR73" s="753"/>
      <c r="AS73" s="753"/>
      <c r="AT73" s="753"/>
      <c r="AU73" s="753"/>
      <c r="AV73" s="753"/>
      <c r="AW73" s="753"/>
      <c r="AX73" s="753"/>
      <c r="AY73" s="753"/>
      <c r="AZ73" s="753"/>
      <c r="BA73" s="753"/>
      <c r="BB73" s="753"/>
      <c r="BC73" s="753"/>
      <c r="BD73" s="753"/>
      <c r="BE73" s="753"/>
      <c r="BF73" s="753"/>
      <c r="BG73" s="753"/>
      <c r="BH73" s="753"/>
      <c r="BI73" s="753"/>
      <c r="BJ73" s="753"/>
      <c r="BK73" s="753"/>
      <c r="BL73" s="753"/>
      <c r="BM73" s="753"/>
      <c r="BN73" s="753"/>
      <c r="BO73" s="753"/>
      <c r="BP73" s="753"/>
      <c r="BQ73" s="753"/>
      <c r="BR73" s="753"/>
      <c r="BS73" s="753"/>
      <c r="BT73" s="753"/>
      <c r="BU73" s="753"/>
      <c r="BV73" s="753"/>
      <c r="BW73" s="753"/>
      <c r="BX73" s="753"/>
      <c r="BY73" s="753"/>
      <c r="BZ73" s="753"/>
      <c r="CA73" s="753"/>
      <c r="CB73" s="753"/>
      <c r="CC73" s="753"/>
      <c r="CD73" s="753"/>
      <c r="CE73" s="753"/>
      <c r="CF73" s="753"/>
      <c r="CG73" s="753"/>
      <c r="CH73" s="753"/>
      <c r="CI73" s="753"/>
      <c r="CJ73" s="753"/>
      <c r="CK73" s="753"/>
      <c r="CL73" s="753"/>
      <c r="CM73" s="753"/>
      <c r="CN73" s="753"/>
      <c r="CO73" s="753"/>
      <c r="CP73" s="753"/>
      <c r="CQ73" s="753"/>
      <c r="CR73" s="753"/>
      <c r="CS73" s="753"/>
      <c r="CT73" s="753"/>
      <c r="CU73" s="753"/>
      <c r="CV73" s="753"/>
      <c r="CW73" s="753"/>
      <c r="CX73" s="753"/>
      <c r="CY73" s="753"/>
      <c r="CZ73" s="753"/>
      <c r="DA73" s="753"/>
      <c r="DB73" s="753"/>
      <c r="DC73" s="753"/>
      <c r="DD73" s="753"/>
      <c r="DE73" s="753"/>
      <c r="DF73" s="753"/>
      <c r="DG73" s="753"/>
      <c r="DH73" s="753"/>
      <c r="DI73" s="753"/>
      <c r="DJ73" s="753"/>
      <c r="DK73" s="753"/>
      <c r="DL73" s="753"/>
      <c r="DM73" s="753"/>
      <c r="DN73" s="753"/>
      <c r="DO73" s="753"/>
      <c r="DP73" s="753"/>
    </row>
    <row r="74" spans="1:120" x14ac:dyDescent="0.25">
      <c r="N74" s="753"/>
      <c r="U74" s="753"/>
      <c r="V74" s="753"/>
      <c r="W74" s="753"/>
      <c r="X74" s="753"/>
      <c r="Y74" s="753"/>
      <c r="Z74" s="753"/>
      <c r="AA74" s="753"/>
      <c r="AB74" s="753"/>
      <c r="AC74" s="753"/>
      <c r="AD74" s="753"/>
      <c r="AE74" s="753"/>
      <c r="AF74" s="753"/>
      <c r="AG74" s="753"/>
      <c r="AH74" s="753"/>
      <c r="AI74" s="753"/>
      <c r="AJ74" s="753"/>
      <c r="AK74" s="753"/>
      <c r="AL74" s="753"/>
      <c r="AM74" s="753"/>
      <c r="AN74" s="753"/>
      <c r="AO74" s="753"/>
      <c r="AP74" s="753"/>
      <c r="AQ74" s="753"/>
      <c r="AR74" s="753"/>
      <c r="AS74" s="753"/>
      <c r="AT74" s="753"/>
      <c r="AU74" s="753"/>
      <c r="AV74" s="753"/>
      <c r="AW74" s="753"/>
      <c r="AX74" s="753"/>
      <c r="AY74" s="753"/>
      <c r="AZ74" s="753"/>
      <c r="BA74" s="753"/>
      <c r="BB74" s="753"/>
      <c r="BC74" s="753"/>
      <c r="BD74" s="753"/>
      <c r="BE74" s="753"/>
      <c r="BF74" s="753"/>
      <c r="BG74" s="753"/>
      <c r="BH74" s="753"/>
      <c r="BI74" s="753"/>
      <c r="BJ74" s="753"/>
      <c r="BK74" s="753"/>
      <c r="BL74" s="753"/>
      <c r="BM74" s="753"/>
      <c r="BN74" s="753"/>
      <c r="BO74" s="753"/>
      <c r="BP74" s="753"/>
      <c r="BQ74" s="753"/>
      <c r="BR74" s="753"/>
      <c r="BS74" s="753"/>
      <c r="BT74" s="753"/>
      <c r="BU74" s="753"/>
      <c r="BV74" s="753"/>
      <c r="BW74" s="753"/>
      <c r="BX74" s="753"/>
      <c r="BY74" s="753"/>
      <c r="BZ74" s="753"/>
      <c r="CA74" s="753"/>
      <c r="CB74" s="753"/>
      <c r="CC74" s="753"/>
      <c r="CD74" s="753"/>
      <c r="CE74" s="753"/>
      <c r="CF74" s="753"/>
      <c r="CG74" s="753"/>
      <c r="CH74" s="753"/>
      <c r="CI74" s="753"/>
      <c r="CJ74" s="753"/>
      <c r="CK74" s="753"/>
      <c r="CL74" s="753"/>
      <c r="CM74" s="753"/>
      <c r="CN74" s="753"/>
      <c r="CO74" s="753"/>
      <c r="CP74" s="753"/>
      <c r="CQ74" s="753"/>
      <c r="CR74" s="753"/>
      <c r="CS74" s="753"/>
      <c r="CT74" s="753"/>
      <c r="CU74" s="753"/>
      <c r="CV74" s="753"/>
      <c r="CW74" s="753"/>
      <c r="CX74" s="753"/>
      <c r="CY74" s="753"/>
      <c r="CZ74" s="753"/>
      <c r="DA74" s="753"/>
      <c r="DB74" s="753"/>
      <c r="DC74" s="753"/>
      <c r="DD74" s="753"/>
      <c r="DE74" s="753"/>
      <c r="DF74" s="753"/>
      <c r="DG74" s="753"/>
      <c r="DH74" s="753"/>
      <c r="DI74" s="753"/>
      <c r="DJ74" s="753"/>
      <c r="DK74" s="753"/>
      <c r="DL74" s="753"/>
      <c r="DM74" s="753"/>
      <c r="DN74" s="753"/>
      <c r="DO74" s="753"/>
      <c r="DP74" s="753"/>
    </row>
    <row r="75" spans="1:120" x14ac:dyDescent="0.25">
      <c r="N75" s="753"/>
      <c r="U75" s="753"/>
      <c r="V75" s="753"/>
      <c r="W75" s="753"/>
      <c r="X75" s="753"/>
      <c r="Y75" s="753"/>
      <c r="Z75" s="753"/>
      <c r="AA75" s="753"/>
      <c r="AB75" s="753"/>
      <c r="AC75" s="753"/>
      <c r="AD75" s="753"/>
      <c r="AE75" s="753"/>
      <c r="AF75" s="753"/>
      <c r="AG75" s="753"/>
      <c r="AH75" s="753"/>
      <c r="AI75" s="753"/>
      <c r="AJ75" s="753"/>
      <c r="AK75" s="753"/>
      <c r="AL75" s="753"/>
      <c r="AM75" s="753"/>
      <c r="AN75" s="753"/>
      <c r="AO75" s="753"/>
      <c r="AP75" s="753"/>
      <c r="AQ75" s="753"/>
      <c r="AR75" s="753"/>
      <c r="AS75" s="753"/>
      <c r="AT75" s="753"/>
      <c r="AU75" s="753"/>
      <c r="AV75" s="753"/>
      <c r="AW75" s="753"/>
      <c r="AX75" s="753"/>
      <c r="AY75" s="753"/>
      <c r="AZ75" s="753"/>
      <c r="BA75" s="753"/>
      <c r="BB75" s="753"/>
      <c r="BC75" s="753"/>
      <c r="BD75" s="753"/>
      <c r="BE75" s="753"/>
      <c r="BF75" s="753"/>
      <c r="BG75" s="753"/>
      <c r="BH75" s="753"/>
      <c r="BI75" s="753"/>
      <c r="BJ75" s="753"/>
      <c r="BK75" s="753"/>
      <c r="BL75" s="753"/>
      <c r="BM75" s="753"/>
      <c r="BN75" s="753"/>
      <c r="BO75" s="753"/>
      <c r="BP75" s="753"/>
      <c r="BQ75" s="753"/>
      <c r="BR75" s="753"/>
      <c r="BS75" s="753"/>
      <c r="BT75" s="753"/>
      <c r="BU75" s="753"/>
      <c r="BV75" s="753"/>
      <c r="BW75" s="753"/>
      <c r="BX75" s="753"/>
      <c r="BY75" s="753"/>
      <c r="BZ75" s="753"/>
      <c r="CA75" s="753"/>
      <c r="CB75" s="753"/>
      <c r="CC75" s="753"/>
      <c r="CD75" s="753"/>
      <c r="CE75" s="753"/>
      <c r="CF75" s="753"/>
      <c r="CG75" s="753"/>
      <c r="CH75" s="753"/>
      <c r="CI75" s="753"/>
      <c r="CJ75" s="753"/>
      <c r="CK75" s="753"/>
      <c r="CL75" s="753"/>
      <c r="CM75" s="753"/>
      <c r="CN75" s="753"/>
      <c r="CO75" s="753"/>
      <c r="CP75" s="753"/>
      <c r="CQ75" s="753"/>
      <c r="CR75" s="753"/>
      <c r="CS75" s="753"/>
      <c r="CT75" s="753"/>
      <c r="CU75" s="753"/>
      <c r="CV75" s="753"/>
      <c r="CW75" s="753"/>
      <c r="CX75" s="753"/>
      <c r="CY75" s="753"/>
      <c r="CZ75" s="753"/>
      <c r="DA75" s="753"/>
      <c r="DB75" s="753"/>
      <c r="DC75" s="753"/>
      <c r="DD75" s="753"/>
      <c r="DE75" s="753"/>
      <c r="DF75" s="753"/>
      <c r="DG75" s="753"/>
      <c r="DH75" s="753"/>
      <c r="DI75" s="753"/>
      <c r="DJ75" s="753"/>
      <c r="DK75" s="753"/>
      <c r="DL75" s="753"/>
      <c r="DM75" s="753"/>
      <c r="DN75" s="753"/>
      <c r="DO75" s="753"/>
      <c r="DP75" s="753"/>
    </row>
    <row r="76" spans="1:120" x14ac:dyDescent="0.25">
      <c r="N76" s="753"/>
      <c r="U76" s="753"/>
      <c r="V76" s="753"/>
      <c r="W76" s="753"/>
      <c r="X76" s="753"/>
      <c r="Y76" s="753"/>
      <c r="Z76" s="753"/>
      <c r="AA76" s="753"/>
      <c r="AB76" s="753"/>
      <c r="AC76" s="753"/>
      <c r="AD76" s="753"/>
      <c r="AE76" s="753"/>
      <c r="AF76" s="753"/>
      <c r="AG76" s="753"/>
      <c r="AH76" s="753"/>
      <c r="AI76" s="753"/>
      <c r="AJ76" s="753"/>
      <c r="AK76" s="753"/>
      <c r="AL76" s="753"/>
      <c r="AM76" s="753"/>
      <c r="AN76" s="753"/>
      <c r="AO76" s="753"/>
      <c r="AP76" s="753"/>
      <c r="AQ76" s="753"/>
      <c r="AR76" s="753"/>
      <c r="AS76" s="753"/>
      <c r="AT76" s="753"/>
      <c r="AU76" s="753"/>
      <c r="AV76" s="753"/>
      <c r="AW76" s="753"/>
      <c r="AX76" s="753"/>
      <c r="AY76" s="753"/>
      <c r="AZ76" s="753"/>
      <c r="BA76" s="753"/>
      <c r="BB76" s="753"/>
      <c r="BC76" s="753"/>
      <c r="BD76" s="753"/>
      <c r="BE76" s="753"/>
      <c r="BF76" s="753"/>
      <c r="BG76" s="753"/>
      <c r="BH76" s="753"/>
      <c r="BI76" s="753"/>
      <c r="BJ76" s="753"/>
      <c r="BK76" s="753"/>
      <c r="BL76" s="753"/>
      <c r="BM76" s="753"/>
      <c r="BN76" s="753"/>
      <c r="BO76" s="753"/>
      <c r="BP76" s="753"/>
      <c r="BQ76" s="753"/>
      <c r="BR76" s="753"/>
      <c r="BS76" s="753"/>
      <c r="BT76" s="753"/>
      <c r="BU76" s="753"/>
      <c r="BV76" s="753"/>
      <c r="BW76" s="753"/>
      <c r="BX76" s="753"/>
      <c r="BY76" s="753"/>
      <c r="BZ76" s="753"/>
      <c r="CA76" s="753"/>
      <c r="CB76" s="753"/>
      <c r="CC76" s="753"/>
      <c r="CD76" s="753"/>
      <c r="CE76" s="753"/>
      <c r="CF76" s="753"/>
      <c r="CG76" s="753"/>
      <c r="CH76" s="753"/>
      <c r="CI76" s="753"/>
      <c r="CJ76" s="753"/>
      <c r="CK76" s="753"/>
      <c r="CL76" s="753"/>
      <c r="CM76" s="753"/>
      <c r="CN76" s="753"/>
      <c r="CO76" s="753"/>
      <c r="CP76" s="753"/>
      <c r="CQ76" s="753"/>
      <c r="CR76" s="753"/>
      <c r="CS76" s="753"/>
      <c r="CT76" s="753"/>
      <c r="CU76" s="753"/>
      <c r="CV76" s="753"/>
      <c r="CW76" s="753"/>
      <c r="CX76" s="753"/>
      <c r="CY76" s="753"/>
      <c r="CZ76" s="753"/>
      <c r="DA76" s="753"/>
      <c r="DB76" s="753"/>
      <c r="DC76" s="753"/>
      <c r="DD76" s="753"/>
      <c r="DE76" s="753"/>
      <c r="DF76" s="753"/>
      <c r="DG76" s="753"/>
      <c r="DH76" s="753"/>
      <c r="DI76" s="753"/>
      <c r="DJ76" s="753"/>
      <c r="DK76" s="753"/>
      <c r="DL76" s="753"/>
      <c r="DM76" s="753"/>
      <c r="DN76" s="753"/>
      <c r="DO76" s="753"/>
      <c r="DP76" s="753"/>
    </row>
    <row r="77" spans="1:120" x14ac:dyDescent="0.25">
      <c r="N77" s="753"/>
      <c r="U77" s="753"/>
      <c r="V77" s="753"/>
      <c r="W77" s="753"/>
      <c r="X77" s="753"/>
      <c r="Y77" s="753"/>
      <c r="Z77" s="753"/>
      <c r="AA77" s="753"/>
      <c r="AB77" s="753"/>
      <c r="AC77" s="753"/>
      <c r="AD77" s="753"/>
      <c r="AE77" s="753"/>
      <c r="AF77" s="753"/>
      <c r="AG77" s="753"/>
      <c r="AH77" s="753"/>
      <c r="AI77" s="753"/>
      <c r="AJ77" s="753"/>
      <c r="AK77" s="753"/>
      <c r="AL77" s="753"/>
      <c r="AM77" s="753"/>
      <c r="AN77" s="753"/>
      <c r="AO77" s="753"/>
      <c r="AP77" s="753"/>
      <c r="AQ77" s="753"/>
      <c r="AR77" s="753"/>
      <c r="AS77" s="753"/>
      <c r="AT77" s="753"/>
      <c r="AU77" s="753"/>
      <c r="AV77" s="753"/>
      <c r="AW77" s="753"/>
      <c r="AX77" s="753"/>
      <c r="AY77" s="753"/>
      <c r="AZ77" s="753"/>
      <c r="BA77" s="753"/>
      <c r="BB77" s="753"/>
      <c r="BC77" s="753"/>
      <c r="BD77" s="753"/>
      <c r="BE77" s="753"/>
      <c r="BF77" s="753"/>
      <c r="BG77" s="753"/>
      <c r="BH77" s="753"/>
      <c r="BI77" s="753"/>
      <c r="BJ77" s="753"/>
      <c r="BK77" s="753"/>
      <c r="BL77" s="753"/>
      <c r="BM77" s="753"/>
      <c r="BN77" s="753"/>
      <c r="BO77" s="753"/>
      <c r="BP77" s="753"/>
      <c r="BQ77" s="753"/>
      <c r="BR77" s="753"/>
      <c r="BS77" s="753"/>
      <c r="BT77" s="753"/>
      <c r="BU77" s="753"/>
      <c r="BV77" s="753"/>
      <c r="BW77" s="753"/>
      <c r="BX77" s="753"/>
      <c r="BY77" s="753"/>
      <c r="BZ77" s="753"/>
      <c r="CA77" s="753"/>
      <c r="CB77" s="753"/>
      <c r="CC77" s="753"/>
      <c r="CD77" s="753"/>
      <c r="CE77" s="753"/>
      <c r="CF77" s="753"/>
      <c r="CG77" s="753"/>
      <c r="CH77" s="753"/>
      <c r="CI77" s="753"/>
      <c r="CJ77" s="753"/>
      <c r="CK77" s="753"/>
      <c r="CL77" s="753"/>
      <c r="CM77" s="753"/>
      <c r="CN77" s="753"/>
      <c r="CO77" s="753"/>
      <c r="CP77" s="753"/>
      <c r="CQ77" s="753"/>
      <c r="CR77" s="753"/>
      <c r="CS77" s="753"/>
      <c r="CT77" s="753"/>
      <c r="CU77" s="753"/>
      <c r="CV77" s="753"/>
      <c r="CW77" s="753"/>
      <c r="CX77" s="753"/>
      <c r="CY77" s="753"/>
      <c r="CZ77" s="753"/>
      <c r="DA77" s="753"/>
      <c r="DB77" s="753"/>
      <c r="DC77" s="753"/>
      <c r="DD77" s="753"/>
      <c r="DE77" s="753"/>
      <c r="DF77" s="753"/>
      <c r="DG77" s="753"/>
      <c r="DH77" s="753"/>
      <c r="DI77" s="753"/>
      <c r="DJ77" s="753"/>
      <c r="DK77" s="753"/>
      <c r="DL77" s="753"/>
      <c r="DM77" s="753"/>
      <c r="DN77" s="753"/>
      <c r="DO77" s="753"/>
      <c r="DP77" s="753"/>
    </row>
    <row r="78" spans="1:120" x14ac:dyDescent="0.25">
      <c r="N78" s="753"/>
      <c r="U78" s="753"/>
      <c r="V78" s="753"/>
      <c r="W78" s="753"/>
      <c r="X78" s="753"/>
      <c r="Y78" s="753"/>
      <c r="Z78" s="753"/>
      <c r="AA78" s="753"/>
      <c r="AB78" s="753"/>
      <c r="AC78" s="753"/>
      <c r="AD78" s="753"/>
      <c r="AE78" s="753"/>
      <c r="AF78" s="753"/>
      <c r="AG78" s="753"/>
      <c r="AH78" s="753"/>
      <c r="AI78" s="753"/>
      <c r="AJ78" s="753"/>
      <c r="AK78" s="753"/>
      <c r="AL78" s="753"/>
      <c r="AM78" s="753"/>
      <c r="AN78" s="753"/>
      <c r="AO78" s="753"/>
      <c r="AP78" s="753"/>
      <c r="AQ78" s="753"/>
      <c r="AR78" s="753"/>
      <c r="AS78" s="753"/>
      <c r="AT78" s="753"/>
      <c r="AU78" s="753"/>
      <c r="AV78" s="753"/>
      <c r="AW78" s="753"/>
      <c r="AX78" s="753"/>
      <c r="AY78" s="753"/>
      <c r="AZ78" s="753"/>
      <c r="BA78" s="753"/>
      <c r="BB78" s="753"/>
      <c r="BC78" s="753"/>
      <c r="BD78" s="753"/>
      <c r="BE78" s="753"/>
      <c r="BF78" s="753"/>
      <c r="BG78" s="753"/>
      <c r="BH78" s="753"/>
      <c r="BI78" s="753"/>
      <c r="BJ78" s="753"/>
      <c r="BK78" s="753"/>
      <c r="BL78" s="753"/>
      <c r="BM78" s="753"/>
      <c r="BN78" s="753"/>
      <c r="BO78" s="753"/>
      <c r="BP78" s="753"/>
      <c r="BQ78" s="753"/>
      <c r="BR78" s="753"/>
      <c r="BS78" s="753"/>
      <c r="BT78" s="753"/>
      <c r="BU78" s="753"/>
      <c r="BV78" s="753"/>
      <c r="BW78" s="753"/>
      <c r="BX78" s="753"/>
      <c r="BY78" s="753"/>
      <c r="BZ78" s="753"/>
      <c r="CA78" s="753"/>
      <c r="CB78" s="753"/>
      <c r="CC78" s="753"/>
      <c r="CD78" s="753"/>
      <c r="CE78" s="753"/>
      <c r="CF78" s="753"/>
      <c r="CG78" s="753"/>
      <c r="CH78" s="753"/>
      <c r="CI78" s="753"/>
      <c r="CJ78" s="753"/>
      <c r="CK78" s="753"/>
      <c r="CL78" s="753"/>
      <c r="CM78" s="753"/>
      <c r="CN78" s="753"/>
      <c r="CO78" s="753"/>
      <c r="CP78" s="753"/>
      <c r="CQ78" s="753"/>
      <c r="CR78" s="753"/>
      <c r="CS78" s="753"/>
      <c r="CT78" s="753"/>
      <c r="CU78" s="753"/>
      <c r="CV78" s="753"/>
      <c r="CW78" s="753"/>
      <c r="CX78" s="753"/>
      <c r="CY78" s="753"/>
      <c r="CZ78" s="753"/>
      <c r="DA78" s="753"/>
      <c r="DB78" s="753"/>
      <c r="DC78" s="753"/>
      <c r="DD78" s="753"/>
      <c r="DE78" s="753"/>
      <c r="DF78" s="753"/>
      <c r="DG78" s="753"/>
      <c r="DH78" s="753"/>
      <c r="DI78" s="753"/>
      <c r="DJ78" s="753"/>
      <c r="DK78" s="753"/>
      <c r="DL78" s="753"/>
      <c r="DM78" s="753"/>
      <c r="DN78" s="753"/>
      <c r="DO78" s="753"/>
      <c r="DP78" s="753"/>
    </row>
    <row r="79" spans="1:120" x14ac:dyDescent="0.25">
      <c r="N79" s="753"/>
      <c r="U79" s="753"/>
      <c r="V79" s="753"/>
      <c r="W79" s="753"/>
      <c r="X79" s="753"/>
      <c r="Y79" s="753"/>
      <c r="Z79" s="753"/>
      <c r="AA79" s="753"/>
      <c r="AB79" s="753"/>
      <c r="AC79" s="753"/>
      <c r="AD79" s="753"/>
      <c r="AE79" s="753"/>
      <c r="AF79" s="753"/>
      <c r="AG79" s="753"/>
      <c r="AH79" s="753"/>
      <c r="AI79" s="753"/>
      <c r="AJ79" s="753"/>
      <c r="AK79" s="753"/>
      <c r="AL79" s="753"/>
      <c r="AM79" s="753"/>
      <c r="AN79" s="753"/>
      <c r="AO79" s="753"/>
      <c r="AP79" s="753"/>
      <c r="AQ79" s="753"/>
      <c r="AR79" s="753"/>
      <c r="AS79" s="753"/>
      <c r="AT79" s="753"/>
      <c r="AU79" s="753"/>
      <c r="AV79" s="753"/>
      <c r="AW79" s="753"/>
      <c r="AX79" s="753"/>
      <c r="AY79" s="753"/>
      <c r="AZ79" s="753"/>
      <c r="BA79" s="753"/>
      <c r="BB79" s="753"/>
      <c r="BC79" s="753"/>
      <c r="BD79" s="753"/>
      <c r="BE79" s="753"/>
      <c r="BF79" s="753"/>
      <c r="BG79" s="753"/>
      <c r="BH79" s="753"/>
      <c r="BI79" s="753"/>
      <c r="BJ79" s="753"/>
      <c r="BK79" s="753"/>
      <c r="BL79" s="753"/>
      <c r="BM79" s="753"/>
      <c r="BN79" s="753"/>
      <c r="BO79" s="753"/>
      <c r="BP79" s="753"/>
      <c r="BQ79" s="753"/>
      <c r="BR79" s="753"/>
      <c r="BS79" s="753"/>
      <c r="BT79" s="753"/>
      <c r="BU79" s="753"/>
      <c r="BV79" s="753"/>
      <c r="BW79" s="753"/>
      <c r="BX79" s="753"/>
      <c r="BY79" s="753"/>
      <c r="BZ79" s="753"/>
      <c r="CA79" s="753"/>
      <c r="CB79" s="753"/>
      <c r="CC79" s="753"/>
      <c r="CD79" s="753"/>
      <c r="CE79" s="753"/>
      <c r="CF79" s="753"/>
      <c r="CG79" s="753"/>
      <c r="CH79" s="753"/>
      <c r="CI79" s="753"/>
      <c r="CJ79" s="753"/>
      <c r="CK79" s="753"/>
      <c r="CL79" s="753"/>
      <c r="CM79" s="753"/>
      <c r="CN79" s="753"/>
      <c r="CO79" s="753"/>
      <c r="CP79" s="753"/>
      <c r="CQ79" s="753"/>
      <c r="CR79" s="753"/>
      <c r="CS79" s="753"/>
      <c r="CT79" s="753"/>
      <c r="CU79" s="753"/>
      <c r="CV79" s="753"/>
      <c r="CW79" s="753"/>
      <c r="CX79" s="753"/>
      <c r="CY79" s="753"/>
      <c r="CZ79" s="753"/>
      <c r="DA79" s="753"/>
      <c r="DB79" s="753"/>
      <c r="DC79" s="753"/>
      <c r="DD79" s="753"/>
      <c r="DE79" s="753"/>
      <c r="DF79" s="753"/>
      <c r="DG79" s="753"/>
      <c r="DH79" s="753"/>
      <c r="DI79" s="753"/>
      <c r="DJ79" s="753"/>
      <c r="DK79" s="753"/>
      <c r="DL79" s="753"/>
      <c r="DM79" s="753"/>
      <c r="DN79" s="753"/>
      <c r="DO79" s="753"/>
      <c r="DP79" s="753"/>
    </row>
    <row r="80" spans="1:120" x14ac:dyDescent="0.25">
      <c r="N80" s="753"/>
      <c r="U80" s="753"/>
      <c r="V80" s="753"/>
      <c r="W80" s="753"/>
      <c r="X80" s="753"/>
      <c r="Y80" s="753"/>
      <c r="Z80" s="753"/>
      <c r="AA80" s="753"/>
      <c r="AB80" s="753"/>
      <c r="AC80" s="753"/>
      <c r="AD80" s="753"/>
      <c r="AE80" s="753"/>
      <c r="AF80" s="753"/>
      <c r="AG80" s="753"/>
      <c r="AH80" s="753"/>
      <c r="AI80" s="753"/>
      <c r="AJ80" s="753"/>
      <c r="AK80" s="753"/>
      <c r="AL80" s="753"/>
      <c r="AM80" s="753"/>
      <c r="AN80" s="753"/>
      <c r="AO80" s="753"/>
      <c r="AP80" s="753"/>
      <c r="AQ80" s="753"/>
      <c r="AR80" s="753"/>
      <c r="AS80" s="753"/>
      <c r="AT80" s="753"/>
      <c r="AU80" s="753"/>
      <c r="AV80" s="753"/>
      <c r="AW80" s="753"/>
      <c r="AX80" s="753"/>
      <c r="AY80" s="753"/>
      <c r="AZ80" s="753"/>
      <c r="BA80" s="753"/>
      <c r="BB80" s="753"/>
      <c r="BC80" s="753"/>
      <c r="BD80" s="753"/>
      <c r="BE80" s="753"/>
      <c r="BF80" s="753"/>
      <c r="BG80" s="753"/>
      <c r="BH80" s="753"/>
      <c r="BI80" s="753"/>
      <c r="BJ80" s="753"/>
      <c r="BK80" s="753"/>
      <c r="BL80" s="753"/>
      <c r="BM80" s="753"/>
      <c r="BN80" s="753"/>
      <c r="BO80" s="753"/>
      <c r="BP80" s="753"/>
      <c r="BQ80" s="753"/>
      <c r="BR80" s="753"/>
      <c r="BS80" s="753"/>
      <c r="BT80" s="753"/>
      <c r="BU80" s="753"/>
      <c r="BV80" s="753"/>
      <c r="BW80" s="753"/>
      <c r="BX80" s="753"/>
      <c r="BY80" s="753"/>
      <c r="BZ80" s="753"/>
      <c r="CA80" s="753"/>
      <c r="CB80" s="753"/>
      <c r="CC80" s="753"/>
      <c r="CD80" s="753"/>
      <c r="CE80" s="753"/>
      <c r="CF80" s="753"/>
      <c r="CG80" s="753"/>
      <c r="CH80" s="753"/>
      <c r="CI80" s="753"/>
      <c r="CJ80" s="753"/>
      <c r="CK80" s="753"/>
      <c r="CL80" s="753"/>
      <c r="CM80" s="753"/>
      <c r="CN80" s="753"/>
      <c r="CO80" s="753"/>
      <c r="CP80" s="753"/>
      <c r="CQ80" s="753"/>
      <c r="CR80" s="753"/>
      <c r="CS80" s="753"/>
      <c r="CT80" s="753"/>
      <c r="CU80" s="753"/>
      <c r="CV80" s="753"/>
      <c r="CW80" s="753"/>
      <c r="CX80" s="753"/>
      <c r="CY80" s="753"/>
      <c r="CZ80" s="753"/>
      <c r="DA80" s="753"/>
      <c r="DB80" s="753"/>
      <c r="DC80" s="753"/>
      <c r="DD80" s="753"/>
      <c r="DE80" s="753"/>
      <c r="DF80" s="753"/>
      <c r="DG80" s="753"/>
      <c r="DH80" s="753"/>
      <c r="DI80" s="753"/>
      <c r="DJ80" s="753"/>
      <c r="DK80" s="753"/>
      <c r="DL80" s="753"/>
      <c r="DM80" s="753"/>
      <c r="DN80" s="753"/>
      <c r="DO80" s="753"/>
      <c r="DP80" s="753"/>
    </row>
    <row r="81" spans="14:120" x14ac:dyDescent="0.25">
      <c r="N81" s="753"/>
      <c r="U81" s="753"/>
      <c r="V81" s="753"/>
      <c r="W81" s="753"/>
      <c r="X81" s="753"/>
      <c r="Y81" s="753"/>
      <c r="Z81" s="753"/>
      <c r="AA81" s="753"/>
      <c r="AB81" s="753"/>
      <c r="AC81" s="753"/>
      <c r="AD81" s="753"/>
      <c r="AE81" s="753"/>
      <c r="AF81" s="753"/>
      <c r="AG81" s="753"/>
      <c r="AH81" s="753"/>
      <c r="AI81" s="753"/>
      <c r="AJ81" s="753"/>
      <c r="AK81" s="753"/>
      <c r="AL81" s="753"/>
      <c r="AM81" s="753"/>
      <c r="AN81" s="753"/>
      <c r="AO81" s="753"/>
      <c r="AP81" s="753"/>
      <c r="AQ81" s="753"/>
      <c r="AR81" s="753"/>
      <c r="AS81" s="753"/>
      <c r="AT81" s="753"/>
      <c r="AU81" s="753"/>
      <c r="AV81" s="753"/>
      <c r="AW81" s="753"/>
      <c r="AX81" s="753"/>
      <c r="AY81" s="753"/>
      <c r="AZ81" s="753"/>
      <c r="BA81" s="753"/>
      <c r="BB81" s="753"/>
      <c r="BC81" s="753"/>
      <c r="BD81" s="753"/>
      <c r="BE81" s="753"/>
      <c r="BF81" s="753"/>
      <c r="BG81" s="753"/>
      <c r="BH81" s="753"/>
      <c r="BI81" s="753"/>
      <c r="BJ81" s="753"/>
      <c r="BK81" s="753"/>
      <c r="BL81" s="753"/>
      <c r="BM81" s="753"/>
      <c r="BN81" s="753"/>
      <c r="BO81" s="753"/>
      <c r="BP81" s="753"/>
      <c r="BQ81" s="753"/>
      <c r="BR81" s="753"/>
      <c r="BS81" s="753"/>
      <c r="BT81" s="753"/>
      <c r="BU81" s="753"/>
      <c r="BV81" s="753"/>
      <c r="BW81" s="753"/>
      <c r="BX81" s="753"/>
      <c r="BY81" s="753"/>
      <c r="BZ81" s="753"/>
      <c r="CA81" s="753"/>
      <c r="CB81" s="753"/>
      <c r="CC81" s="753"/>
      <c r="CD81" s="753"/>
      <c r="CE81" s="753"/>
      <c r="CF81" s="753"/>
      <c r="CG81" s="753"/>
      <c r="CH81" s="753"/>
      <c r="CI81" s="753"/>
      <c r="CJ81" s="753"/>
      <c r="CK81" s="753"/>
      <c r="CL81" s="753"/>
      <c r="CM81" s="753"/>
      <c r="CN81" s="753"/>
      <c r="CO81" s="753"/>
      <c r="CP81" s="753"/>
      <c r="CQ81" s="753"/>
      <c r="CR81" s="753"/>
      <c r="CS81" s="753"/>
      <c r="CT81" s="753"/>
      <c r="CU81" s="753"/>
      <c r="CV81" s="753"/>
      <c r="CW81" s="753"/>
      <c r="CX81" s="753"/>
      <c r="CY81" s="753"/>
      <c r="CZ81" s="753"/>
      <c r="DA81" s="753"/>
      <c r="DB81" s="753"/>
      <c r="DC81" s="753"/>
      <c r="DD81" s="753"/>
      <c r="DE81" s="753"/>
      <c r="DF81" s="753"/>
      <c r="DG81" s="753"/>
      <c r="DH81" s="753"/>
      <c r="DI81" s="753"/>
      <c r="DJ81" s="753"/>
      <c r="DK81" s="753"/>
      <c r="DL81" s="753"/>
      <c r="DM81" s="753"/>
      <c r="DN81" s="753"/>
      <c r="DO81" s="753"/>
      <c r="DP81" s="753"/>
    </row>
    <row r="82" spans="14:120" x14ac:dyDescent="0.25">
      <c r="N82" s="753"/>
      <c r="U82" s="753"/>
      <c r="V82" s="753"/>
      <c r="W82" s="753"/>
      <c r="X82" s="753"/>
      <c r="Y82" s="753"/>
      <c r="Z82" s="753"/>
      <c r="AA82" s="753"/>
      <c r="AB82" s="753"/>
      <c r="AC82" s="753"/>
      <c r="AD82" s="753"/>
      <c r="AE82" s="753"/>
      <c r="AF82" s="753"/>
      <c r="AG82" s="753"/>
      <c r="AH82" s="753"/>
      <c r="AI82" s="753"/>
      <c r="AJ82" s="753"/>
      <c r="AK82" s="753"/>
      <c r="AL82" s="753"/>
      <c r="AM82" s="753"/>
      <c r="AN82" s="753"/>
      <c r="AO82" s="753"/>
      <c r="AP82" s="753"/>
      <c r="AQ82" s="753"/>
      <c r="AR82" s="753"/>
      <c r="AS82" s="753"/>
      <c r="AT82" s="753"/>
      <c r="AU82" s="753"/>
      <c r="AV82" s="753"/>
      <c r="AW82" s="753"/>
      <c r="AX82" s="753"/>
      <c r="AY82" s="753"/>
      <c r="AZ82" s="753"/>
      <c r="BA82" s="753"/>
      <c r="BB82" s="753"/>
      <c r="BC82" s="753"/>
      <c r="BD82" s="753"/>
      <c r="BE82" s="753"/>
      <c r="BF82" s="753"/>
      <c r="BG82" s="753"/>
      <c r="BH82" s="753"/>
      <c r="BI82" s="753"/>
      <c r="BJ82" s="753"/>
      <c r="BK82" s="753"/>
      <c r="BL82" s="753"/>
      <c r="BM82" s="753"/>
      <c r="BN82" s="753"/>
      <c r="BO82" s="753"/>
      <c r="BP82" s="753"/>
      <c r="BQ82" s="753"/>
      <c r="BR82" s="753"/>
      <c r="BS82" s="753"/>
      <c r="BT82" s="753"/>
      <c r="BU82" s="753"/>
      <c r="BV82" s="753"/>
      <c r="BW82" s="753"/>
      <c r="BX82" s="753"/>
      <c r="BY82" s="753"/>
      <c r="BZ82" s="753"/>
      <c r="CA82" s="753"/>
      <c r="CB82" s="753"/>
      <c r="CC82" s="753"/>
      <c r="CD82" s="753"/>
      <c r="CE82" s="753"/>
      <c r="CF82" s="753"/>
      <c r="CG82" s="753"/>
      <c r="CH82" s="753"/>
      <c r="CI82" s="753"/>
      <c r="CJ82" s="753"/>
      <c r="CK82" s="753"/>
      <c r="CL82" s="753"/>
      <c r="CM82" s="753"/>
      <c r="CN82" s="753"/>
      <c r="CO82" s="753"/>
      <c r="CP82" s="753"/>
      <c r="CQ82" s="753"/>
      <c r="CR82" s="753"/>
      <c r="CS82" s="753"/>
      <c r="CT82" s="753"/>
      <c r="CU82" s="753"/>
      <c r="CV82" s="753"/>
      <c r="CW82" s="753"/>
      <c r="CX82" s="753"/>
      <c r="CY82" s="753"/>
      <c r="CZ82" s="753"/>
      <c r="DA82" s="753"/>
      <c r="DB82" s="753"/>
      <c r="DC82" s="753"/>
      <c r="DD82" s="753"/>
      <c r="DE82" s="753"/>
      <c r="DF82" s="753"/>
      <c r="DG82" s="753"/>
      <c r="DH82" s="753"/>
      <c r="DI82" s="753"/>
      <c r="DJ82" s="753"/>
      <c r="DK82" s="753"/>
      <c r="DL82" s="753"/>
      <c r="DM82" s="753"/>
      <c r="DN82" s="753"/>
      <c r="DO82" s="753"/>
      <c r="DP82" s="753"/>
    </row>
    <row r="83" spans="14:120" x14ac:dyDescent="0.25">
      <c r="N83" s="753"/>
      <c r="U83" s="753"/>
      <c r="V83" s="753"/>
      <c r="W83" s="753"/>
      <c r="X83" s="753"/>
      <c r="Y83" s="753"/>
      <c r="Z83" s="753"/>
      <c r="AA83" s="753"/>
      <c r="AB83" s="753"/>
      <c r="AC83" s="753"/>
      <c r="AD83" s="753"/>
      <c r="AE83" s="753"/>
      <c r="AF83" s="753"/>
      <c r="AG83" s="753"/>
      <c r="AH83" s="753"/>
      <c r="AI83" s="753"/>
      <c r="AJ83" s="753"/>
      <c r="AK83" s="753"/>
      <c r="AL83" s="753"/>
      <c r="AM83" s="753"/>
      <c r="AN83" s="753"/>
      <c r="AO83" s="753"/>
      <c r="AP83" s="753"/>
      <c r="AQ83" s="753"/>
      <c r="AR83" s="753"/>
      <c r="AS83" s="753"/>
      <c r="AT83" s="753"/>
      <c r="AU83" s="753"/>
      <c r="AV83" s="753"/>
      <c r="AW83" s="753"/>
      <c r="AX83" s="753"/>
      <c r="AY83" s="753"/>
      <c r="AZ83" s="753"/>
      <c r="BA83" s="753"/>
      <c r="BB83" s="753"/>
      <c r="BC83" s="753"/>
      <c r="BD83" s="753"/>
      <c r="BE83" s="753"/>
      <c r="BF83" s="753"/>
      <c r="BG83" s="753"/>
      <c r="BH83" s="753"/>
      <c r="BI83" s="753"/>
      <c r="BJ83" s="753"/>
      <c r="BK83" s="753"/>
      <c r="BL83" s="753"/>
      <c r="BM83" s="753"/>
      <c r="BN83" s="753"/>
      <c r="BO83" s="753"/>
      <c r="BP83" s="753"/>
      <c r="BQ83" s="753"/>
      <c r="BR83" s="753"/>
      <c r="BS83" s="753"/>
      <c r="BT83" s="753"/>
      <c r="BU83" s="753"/>
      <c r="BV83" s="753"/>
      <c r="BW83" s="753"/>
      <c r="BX83" s="753"/>
      <c r="BY83" s="753"/>
      <c r="BZ83" s="753"/>
      <c r="CA83" s="753"/>
      <c r="CB83" s="753"/>
      <c r="CC83" s="753"/>
      <c r="CD83" s="753"/>
      <c r="CE83" s="753"/>
      <c r="CF83" s="753"/>
      <c r="CG83" s="753"/>
      <c r="CH83" s="753"/>
      <c r="CI83" s="753"/>
      <c r="CJ83" s="753"/>
      <c r="CK83" s="753"/>
      <c r="CL83" s="753"/>
      <c r="CM83" s="753"/>
      <c r="CN83" s="753"/>
      <c r="CO83" s="753"/>
      <c r="CP83" s="753"/>
      <c r="CQ83" s="753"/>
      <c r="CR83" s="753"/>
      <c r="CS83" s="753"/>
      <c r="CT83" s="753"/>
      <c r="CU83" s="753"/>
      <c r="CV83" s="753"/>
      <c r="CW83" s="753"/>
      <c r="CX83" s="753"/>
      <c r="CY83" s="753"/>
      <c r="CZ83" s="753"/>
      <c r="DA83" s="753"/>
      <c r="DB83" s="753"/>
      <c r="DC83" s="753"/>
      <c r="DD83" s="753"/>
      <c r="DE83" s="753"/>
      <c r="DF83" s="753"/>
      <c r="DG83" s="753"/>
      <c r="DH83" s="753"/>
      <c r="DI83" s="753"/>
      <c r="DJ83" s="753"/>
      <c r="DK83" s="753"/>
      <c r="DL83" s="753"/>
      <c r="DM83" s="753"/>
      <c r="DN83" s="753"/>
      <c r="DO83" s="753"/>
      <c r="DP83" s="753"/>
    </row>
    <row r="84" spans="14:120" x14ac:dyDescent="0.25">
      <c r="N84" s="753"/>
      <c r="U84" s="753"/>
      <c r="V84" s="753"/>
      <c r="W84" s="753"/>
      <c r="X84" s="753"/>
      <c r="Y84" s="753"/>
      <c r="Z84" s="753"/>
      <c r="AA84" s="753"/>
      <c r="AB84" s="753"/>
      <c r="AC84" s="753"/>
      <c r="AD84" s="753"/>
      <c r="AE84" s="753"/>
      <c r="AF84" s="753"/>
      <c r="AG84" s="753"/>
      <c r="AH84" s="753"/>
      <c r="AI84" s="753"/>
      <c r="AJ84" s="753"/>
      <c r="AK84" s="753"/>
      <c r="AL84" s="753"/>
      <c r="AM84" s="753"/>
      <c r="AN84" s="753"/>
      <c r="AO84" s="753"/>
      <c r="AP84" s="753"/>
      <c r="AQ84" s="753"/>
      <c r="AR84" s="753"/>
      <c r="AS84" s="753"/>
      <c r="AT84" s="753"/>
      <c r="AU84" s="753"/>
      <c r="AV84" s="753"/>
      <c r="AW84" s="753"/>
      <c r="AX84" s="753"/>
      <c r="AY84" s="753"/>
      <c r="AZ84" s="753"/>
      <c r="BA84" s="753"/>
      <c r="BB84" s="753"/>
      <c r="BC84" s="753"/>
      <c r="BD84" s="753"/>
      <c r="BE84" s="753"/>
      <c r="BF84" s="753"/>
      <c r="BG84" s="753"/>
      <c r="BH84" s="753"/>
      <c r="BI84" s="753"/>
      <c r="BJ84" s="753"/>
      <c r="BK84" s="753"/>
      <c r="BL84" s="753"/>
      <c r="BM84" s="753"/>
      <c r="BN84" s="753"/>
      <c r="BO84" s="753"/>
      <c r="BP84" s="753"/>
      <c r="BQ84" s="753"/>
      <c r="BR84" s="753"/>
      <c r="BS84" s="753"/>
      <c r="BT84" s="753"/>
      <c r="BU84" s="753"/>
      <c r="BV84" s="753"/>
      <c r="BW84" s="753"/>
      <c r="BX84" s="753"/>
      <c r="BY84" s="753"/>
      <c r="BZ84" s="753"/>
      <c r="CA84" s="753"/>
      <c r="CB84" s="753"/>
      <c r="CC84" s="753"/>
      <c r="CD84" s="753"/>
      <c r="CE84" s="753"/>
      <c r="CF84" s="753"/>
      <c r="CG84" s="753"/>
      <c r="CH84" s="753"/>
      <c r="CI84" s="753"/>
      <c r="CJ84" s="753"/>
      <c r="CK84" s="753"/>
      <c r="CL84" s="753"/>
      <c r="CM84" s="753"/>
      <c r="CN84" s="753"/>
      <c r="CO84" s="753"/>
      <c r="CP84" s="753"/>
      <c r="CQ84" s="753"/>
      <c r="CR84" s="753"/>
      <c r="CS84" s="753"/>
      <c r="CT84" s="753"/>
      <c r="CU84" s="753"/>
      <c r="CV84" s="753"/>
      <c r="CW84" s="753"/>
      <c r="CX84" s="753"/>
      <c r="CY84" s="753"/>
      <c r="CZ84" s="753"/>
      <c r="DA84" s="753"/>
      <c r="DB84" s="753"/>
      <c r="DC84" s="753"/>
      <c r="DD84" s="753"/>
      <c r="DE84" s="753"/>
      <c r="DF84" s="753"/>
      <c r="DG84" s="753"/>
      <c r="DH84" s="753"/>
      <c r="DI84" s="753"/>
      <c r="DJ84" s="753"/>
      <c r="DK84" s="753"/>
      <c r="DL84" s="753"/>
      <c r="DM84" s="753"/>
      <c r="DN84" s="753"/>
      <c r="DO84" s="753"/>
      <c r="DP84" s="753"/>
    </row>
    <row r="85" spans="14:120" x14ac:dyDescent="0.25">
      <c r="N85" s="753"/>
      <c r="U85" s="753"/>
      <c r="V85" s="753"/>
      <c r="W85" s="753"/>
      <c r="X85" s="753"/>
      <c r="Y85" s="753"/>
      <c r="Z85" s="753"/>
      <c r="AA85" s="753"/>
      <c r="AB85" s="753"/>
      <c r="AC85" s="753"/>
      <c r="AD85" s="753"/>
      <c r="AE85" s="753"/>
      <c r="AF85" s="753"/>
      <c r="AG85" s="753"/>
      <c r="AH85" s="753"/>
      <c r="AI85" s="753"/>
      <c r="AJ85" s="753"/>
      <c r="AK85" s="753"/>
      <c r="AL85" s="753"/>
      <c r="AM85" s="753"/>
      <c r="AN85" s="753"/>
      <c r="AO85" s="753"/>
      <c r="AP85" s="753"/>
      <c r="AQ85" s="753"/>
      <c r="AR85" s="753"/>
      <c r="AS85" s="753"/>
      <c r="AT85" s="753"/>
      <c r="AU85" s="753"/>
      <c r="AV85" s="753"/>
      <c r="AW85" s="753"/>
      <c r="AX85" s="753"/>
      <c r="AY85" s="753"/>
      <c r="AZ85" s="753"/>
      <c r="BA85" s="753"/>
      <c r="BB85" s="753"/>
      <c r="BC85" s="753"/>
      <c r="BD85" s="753"/>
      <c r="BE85" s="753"/>
      <c r="BF85" s="753"/>
      <c r="BG85" s="753"/>
      <c r="BH85" s="753"/>
      <c r="BI85" s="753"/>
      <c r="BJ85" s="753"/>
      <c r="BK85" s="753"/>
      <c r="BL85" s="753"/>
      <c r="BM85" s="753"/>
      <c r="BN85" s="753"/>
      <c r="BO85" s="753"/>
      <c r="BP85" s="753"/>
      <c r="BQ85" s="753"/>
      <c r="BR85" s="753"/>
      <c r="BS85" s="753"/>
      <c r="BT85" s="753"/>
      <c r="BU85" s="753"/>
      <c r="BV85" s="753"/>
      <c r="BW85" s="753"/>
      <c r="BX85" s="753"/>
      <c r="BY85" s="753"/>
      <c r="BZ85" s="753"/>
      <c r="CA85" s="753"/>
      <c r="CB85" s="753"/>
      <c r="CC85" s="753"/>
      <c r="CD85" s="753"/>
      <c r="CE85" s="753"/>
      <c r="CF85" s="753"/>
      <c r="CG85" s="753"/>
      <c r="CH85" s="753"/>
      <c r="CI85" s="753"/>
      <c r="CJ85" s="753"/>
      <c r="CK85" s="753"/>
      <c r="CL85" s="753"/>
      <c r="CM85" s="753"/>
      <c r="CN85" s="753"/>
      <c r="CO85" s="753"/>
      <c r="CP85" s="753"/>
      <c r="CQ85" s="753"/>
      <c r="CR85" s="753"/>
      <c r="CS85" s="753"/>
      <c r="CT85" s="753"/>
      <c r="CU85" s="753"/>
      <c r="CV85" s="753"/>
      <c r="CW85" s="753"/>
      <c r="CX85" s="753"/>
      <c r="CY85" s="753"/>
      <c r="CZ85" s="753"/>
      <c r="DA85" s="753"/>
      <c r="DB85" s="753"/>
      <c r="DC85" s="753"/>
      <c r="DD85" s="753"/>
      <c r="DE85" s="753"/>
      <c r="DF85" s="753"/>
      <c r="DG85" s="753"/>
      <c r="DH85" s="753"/>
      <c r="DI85" s="753"/>
      <c r="DJ85" s="753"/>
      <c r="DK85" s="753"/>
      <c r="DL85" s="753"/>
      <c r="DM85" s="753"/>
      <c r="DN85" s="753"/>
      <c r="DO85" s="753"/>
      <c r="DP85" s="753"/>
    </row>
    <row r="86" spans="14:120" x14ac:dyDescent="0.25">
      <c r="N86" s="753"/>
      <c r="U86" s="753"/>
      <c r="V86" s="753"/>
      <c r="W86" s="753"/>
      <c r="X86" s="753"/>
      <c r="Y86" s="753"/>
      <c r="Z86" s="753"/>
      <c r="AA86" s="753"/>
      <c r="AB86" s="753"/>
      <c r="AC86" s="753"/>
      <c r="AD86" s="753"/>
      <c r="AE86" s="753"/>
      <c r="AF86" s="753"/>
      <c r="AG86" s="753"/>
      <c r="AH86" s="753"/>
      <c r="AI86" s="753"/>
      <c r="AJ86" s="753"/>
      <c r="AK86" s="753"/>
      <c r="AL86" s="753"/>
      <c r="AM86" s="753"/>
      <c r="AN86" s="753"/>
      <c r="AO86" s="753"/>
      <c r="AP86" s="753"/>
      <c r="AQ86" s="753"/>
      <c r="AR86" s="753"/>
      <c r="AS86" s="753"/>
      <c r="AT86" s="753"/>
      <c r="AU86" s="753"/>
      <c r="AV86" s="753"/>
      <c r="AW86" s="753"/>
      <c r="AX86" s="753"/>
      <c r="AY86" s="753"/>
      <c r="AZ86" s="753"/>
      <c r="BA86" s="753"/>
      <c r="BB86" s="753"/>
      <c r="BC86" s="753"/>
      <c r="BD86" s="753"/>
      <c r="BE86" s="753"/>
      <c r="BF86" s="753"/>
      <c r="BG86" s="753"/>
      <c r="BH86" s="753"/>
      <c r="BI86" s="753"/>
      <c r="BJ86" s="753"/>
      <c r="BK86" s="753"/>
      <c r="BL86" s="753"/>
      <c r="BM86" s="753"/>
      <c r="BN86" s="753"/>
      <c r="BO86" s="753"/>
      <c r="BP86" s="753"/>
      <c r="BQ86" s="753"/>
      <c r="BR86" s="753"/>
      <c r="BS86" s="753"/>
      <c r="BT86" s="753"/>
      <c r="BU86" s="753"/>
      <c r="BV86" s="753"/>
      <c r="BW86" s="753"/>
      <c r="BX86" s="753"/>
      <c r="BY86" s="753"/>
      <c r="BZ86" s="753"/>
      <c r="CA86" s="753"/>
      <c r="CB86" s="753"/>
      <c r="CC86" s="753"/>
      <c r="CD86" s="753"/>
      <c r="CE86" s="753"/>
      <c r="CF86" s="753"/>
      <c r="CG86" s="753"/>
      <c r="CH86" s="753"/>
      <c r="CI86" s="753"/>
      <c r="CJ86" s="753"/>
      <c r="CK86" s="753"/>
      <c r="CL86" s="753"/>
      <c r="CM86" s="753"/>
      <c r="CN86" s="753"/>
      <c r="CO86" s="753"/>
      <c r="CP86" s="753"/>
      <c r="CQ86" s="753"/>
      <c r="CR86" s="753"/>
      <c r="CS86" s="753"/>
      <c r="CT86" s="753"/>
      <c r="CU86" s="753"/>
      <c r="CV86" s="753"/>
      <c r="CW86" s="753"/>
      <c r="CX86" s="753"/>
      <c r="CY86" s="753"/>
      <c r="CZ86" s="753"/>
      <c r="DA86" s="753"/>
      <c r="DB86" s="753"/>
      <c r="DC86" s="753"/>
      <c r="DD86" s="753"/>
      <c r="DE86" s="753"/>
      <c r="DF86" s="753"/>
      <c r="DG86" s="753"/>
      <c r="DH86" s="753"/>
      <c r="DI86" s="753"/>
      <c r="DJ86" s="753"/>
      <c r="DK86" s="753"/>
      <c r="DL86" s="753"/>
      <c r="DM86" s="753"/>
      <c r="DN86" s="753"/>
      <c r="DO86" s="753"/>
      <c r="DP86" s="753"/>
    </row>
    <row r="87" spans="14:120" x14ac:dyDescent="0.25">
      <c r="N87" s="753"/>
      <c r="U87" s="753"/>
      <c r="V87" s="753"/>
      <c r="W87" s="753"/>
      <c r="X87" s="753"/>
      <c r="Y87" s="753"/>
      <c r="Z87" s="753"/>
      <c r="AA87" s="753"/>
      <c r="AB87" s="753"/>
      <c r="AC87" s="753"/>
      <c r="AD87" s="753"/>
      <c r="AE87" s="753"/>
      <c r="AF87" s="753"/>
      <c r="AG87" s="753"/>
      <c r="AH87" s="753"/>
      <c r="AI87" s="753"/>
      <c r="AJ87" s="753"/>
      <c r="AK87" s="753"/>
      <c r="AL87" s="753"/>
      <c r="AM87" s="753"/>
      <c r="AN87" s="753"/>
      <c r="AO87" s="753"/>
      <c r="AP87" s="753"/>
      <c r="AQ87" s="753"/>
      <c r="AR87" s="753"/>
      <c r="AS87" s="753"/>
      <c r="AT87" s="753"/>
      <c r="AU87" s="753"/>
      <c r="AV87" s="753"/>
      <c r="AW87" s="753"/>
      <c r="AX87" s="753"/>
      <c r="AY87" s="753"/>
      <c r="AZ87" s="753"/>
      <c r="BA87" s="753"/>
      <c r="BB87" s="753"/>
      <c r="BC87" s="753"/>
      <c r="BD87" s="753"/>
      <c r="BE87" s="753"/>
      <c r="BF87" s="753"/>
      <c r="BG87" s="753"/>
      <c r="BH87" s="753"/>
      <c r="BI87" s="753"/>
      <c r="BJ87" s="753"/>
      <c r="BK87" s="753"/>
      <c r="BL87" s="753"/>
      <c r="BM87" s="753"/>
      <c r="BN87" s="753"/>
      <c r="BO87" s="753"/>
      <c r="BP87" s="753"/>
      <c r="BQ87" s="753"/>
      <c r="BR87" s="753"/>
      <c r="BS87" s="753"/>
      <c r="BT87" s="753"/>
      <c r="BU87" s="753"/>
      <c r="BV87" s="753"/>
      <c r="BW87" s="753"/>
      <c r="BX87" s="753"/>
      <c r="BY87" s="753"/>
      <c r="BZ87" s="753"/>
      <c r="CA87" s="753"/>
      <c r="CB87" s="753"/>
      <c r="CC87" s="753"/>
      <c r="CD87" s="753"/>
      <c r="CE87" s="753"/>
      <c r="CF87" s="753"/>
      <c r="CG87" s="753"/>
      <c r="CH87" s="753"/>
      <c r="CI87" s="753"/>
      <c r="CJ87" s="753"/>
      <c r="CK87" s="753"/>
      <c r="CL87" s="753"/>
      <c r="CM87" s="753"/>
      <c r="CN87" s="753"/>
      <c r="CO87" s="753"/>
      <c r="CP87" s="753"/>
      <c r="CQ87" s="753"/>
      <c r="CR87" s="753"/>
      <c r="CS87" s="753"/>
      <c r="CT87" s="753"/>
      <c r="CU87" s="753"/>
      <c r="CV87" s="753"/>
      <c r="CW87" s="753"/>
      <c r="CX87" s="753"/>
      <c r="CY87" s="753"/>
      <c r="CZ87" s="753"/>
      <c r="DA87" s="753"/>
      <c r="DB87" s="753"/>
      <c r="DC87" s="753"/>
      <c r="DD87" s="753"/>
      <c r="DE87" s="753"/>
      <c r="DF87" s="753"/>
      <c r="DG87" s="753"/>
      <c r="DH87" s="753"/>
      <c r="DI87" s="753"/>
      <c r="DJ87" s="753"/>
      <c r="DK87" s="753"/>
      <c r="DL87" s="753"/>
      <c r="DM87" s="753"/>
      <c r="DN87" s="753"/>
      <c r="DO87" s="753"/>
      <c r="DP87" s="753"/>
    </row>
    <row r="88" spans="14:120" x14ac:dyDescent="0.25">
      <c r="N88" s="753"/>
      <c r="U88" s="753"/>
      <c r="V88" s="753"/>
      <c r="W88" s="753"/>
      <c r="X88" s="753"/>
      <c r="Y88" s="753"/>
      <c r="Z88" s="753"/>
      <c r="AA88" s="753"/>
      <c r="AB88" s="753"/>
      <c r="AC88" s="753"/>
      <c r="AD88" s="753"/>
      <c r="AE88" s="753"/>
      <c r="AF88" s="753"/>
      <c r="AG88" s="753"/>
      <c r="AH88" s="753"/>
      <c r="AI88" s="753"/>
      <c r="AJ88" s="753"/>
      <c r="AK88" s="753"/>
      <c r="AL88" s="753"/>
      <c r="AM88" s="753"/>
      <c r="AN88" s="753"/>
      <c r="AO88" s="753"/>
      <c r="AP88" s="753"/>
      <c r="AQ88" s="753"/>
      <c r="AR88" s="753"/>
      <c r="AS88" s="753"/>
      <c r="AT88" s="753"/>
      <c r="AU88" s="753"/>
      <c r="AV88" s="753"/>
      <c r="AW88" s="753"/>
      <c r="AX88" s="753"/>
      <c r="AY88" s="753"/>
      <c r="AZ88" s="753"/>
      <c r="BA88" s="753"/>
      <c r="BB88" s="753"/>
      <c r="BC88" s="753"/>
      <c r="BD88" s="753"/>
      <c r="BE88" s="753"/>
      <c r="BF88" s="753"/>
      <c r="BG88" s="753"/>
      <c r="BH88" s="753"/>
      <c r="BI88" s="753"/>
      <c r="BJ88" s="753"/>
      <c r="BK88" s="753"/>
      <c r="BL88" s="753"/>
      <c r="BM88" s="753"/>
      <c r="BN88" s="753"/>
      <c r="BO88" s="753"/>
      <c r="BP88" s="753"/>
      <c r="BQ88" s="753"/>
      <c r="BR88" s="753"/>
      <c r="BS88" s="753"/>
      <c r="BT88" s="753"/>
      <c r="BU88" s="753"/>
      <c r="BV88" s="753"/>
      <c r="BW88" s="753"/>
      <c r="BX88" s="753"/>
      <c r="BY88" s="753"/>
      <c r="BZ88" s="753"/>
      <c r="CA88" s="753"/>
      <c r="CB88" s="753"/>
      <c r="CC88" s="753"/>
      <c r="CD88" s="753"/>
      <c r="CE88" s="753"/>
      <c r="CF88" s="753"/>
      <c r="CG88" s="753"/>
      <c r="CH88" s="753"/>
      <c r="CI88" s="753"/>
      <c r="CJ88" s="753"/>
      <c r="CK88" s="753"/>
      <c r="CL88" s="753"/>
      <c r="CM88" s="753"/>
      <c r="CN88" s="753"/>
      <c r="CO88" s="753"/>
      <c r="CP88" s="753"/>
      <c r="CQ88" s="753"/>
      <c r="CR88" s="753"/>
      <c r="CS88" s="753"/>
      <c r="CT88" s="753"/>
      <c r="CU88" s="753"/>
      <c r="CV88" s="753"/>
      <c r="CW88" s="753"/>
      <c r="CX88" s="753"/>
      <c r="CY88" s="753"/>
      <c r="CZ88" s="753"/>
      <c r="DA88" s="753"/>
      <c r="DB88" s="753"/>
      <c r="DC88" s="753"/>
      <c r="DD88" s="753"/>
      <c r="DE88" s="753"/>
      <c r="DF88" s="753"/>
      <c r="DG88" s="753"/>
      <c r="DH88" s="753"/>
      <c r="DI88" s="753"/>
      <c r="DJ88" s="753"/>
      <c r="DK88" s="753"/>
      <c r="DL88" s="753"/>
      <c r="DM88" s="753"/>
      <c r="DN88" s="753"/>
      <c r="DO88" s="753"/>
      <c r="DP88" s="753"/>
    </row>
    <row r="89" spans="14:120" x14ac:dyDescent="0.25">
      <c r="N89" s="753"/>
      <c r="U89" s="753"/>
      <c r="V89" s="753"/>
      <c r="W89" s="753"/>
      <c r="X89" s="753"/>
      <c r="Y89" s="753"/>
      <c r="Z89" s="753"/>
      <c r="AA89" s="753"/>
      <c r="AB89" s="753"/>
      <c r="AC89" s="753"/>
      <c r="AD89" s="753"/>
      <c r="AE89" s="753"/>
      <c r="AF89" s="753"/>
      <c r="AG89" s="753"/>
      <c r="AH89" s="753"/>
      <c r="AI89" s="753"/>
      <c r="AJ89" s="753"/>
      <c r="AK89" s="753"/>
      <c r="AL89" s="753"/>
      <c r="AM89" s="753"/>
      <c r="AN89" s="753"/>
      <c r="AO89" s="753"/>
      <c r="AP89" s="753"/>
      <c r="AQ89" s="753"/>
      <c r="AR89" s="753"/>
      <c r="AS89" s="753"/>
      <c r="AT89" s="753"/>
      <c r="AU89" s="753"/>
      <c r="AV89" s="753"/>
      <c r="AW89" s="753"/>
      <c r="AX89" s="753"/>
      <c r="AY89" s="753"/>
      <c r="AZ89" s="753"/>
      <c r="BA89" s="753"/>
      <c r="BB89" s="753"/>
      <c r="BC89" s="753"/>
      <c r="BD89" s="753"/>
      <c r="BE89" s="753"/>
      <c r="BF89" s="753"/>
      <c r="BG89" s="753"/>
      <c r="BH89" s="753"/>
      <c r="BI89" s="753"/>
      <c r="BJ89" s="753"/>
      <c r="BK89" s="753"/>
      <c r="BL89" s="753"/>
      <c r="BM89" s="753"/>
      <c r="BN89" s="753"/>
      <c r="BO89" s="753"/>
      <c r="BP89" s="753"/>
      <c r="BQ89" s="753"/>
      <c r="BR89" s="753"/>
      <c r="BS89" s="753"/>
      <c r="BT89" s="753"/>
      <c r="BU89" s="753"/>
      <c r="BV89" s="753"/>
      <c r="BW89" s="753"/>
      <c r="BX89" s="753"/>
      <c r="BY89" s="753"/>
      <c r="BZ89" s="753"/>
      <c r="CA89" s="753"/>
      <c r="CB89" s="753"/>
      <c r="CC89" s="753"/>
      <c r="CD89" s="753"/>
      <c r="CE89" s="753"/>
      <c r="CF89" s="753"/>
      <c r="CG89" s="753"/>
      <c r="CH89" s="753"/>
      <c r="CI89" s="753"/>
      <c r="CJ89" s="753"/>
      <c r="CK89" s="753"/>
      <c r="CL89" s="753"/>
      <c r="CM89" s="753"/>
      <c r="CN89" s="753"/>
      <c r="CO89" s="753"/>
      <c r="CP89" s="753"/>
      <c r="CQ89" s="753"/>
      <c r="CR89" s="753"/>
      <c r="CS89" s="753"/>
      <c r="CT89" s="753"/>
      <c r="CU89" s="753"/>
      <c r="CV89" s="753"/>
      <c r="CW89" s="753"/>
      <c r="CX89" s="753"/>
      <c r="CY89" s="753"/>
      <c r="CZ89" s="753"/>
      <c r="DA89" s="753"/>
      <c r="DB89" s="753"/>
      <c r="DC89" s="753"/>
      <c r="DD89" s="753"/>
      <c r="DE89" s="753"/>
      <c r="DF89" s="753"/>
      <c r="DG89" s="753"/>
      <c r="DH89" s="753"/>
      <c r="DI89" s="753"/>
      <c r="DJ89" s="753"/>
      <c r="DK89" s="753"/>
      <c r="DL89" s="753"/>
      <c r="DM89" s="753"/>
      <c r="DN89" s="753"/>
      <c r="DO89" s="753"/>
      <c r="DP89" s="753"/>
    </row>
    <row r="90" spans="14:120" x14ac:dyDescent="0.25">
      <c r="N90" s="753"/>
      <c r="U90" s="753"/>
      <c r="V90" s="753"/>
      <c r="W90" s="753"/>
      <c r="X90" s="753"/>
      <c r="Y90" s="753"/>
      <c r="Z90" s="753"/>
      <c r="AA90" s="753"/>
      <c r="AB90" s="753"/>
      <c r="AC90" s="753"/>
      <c r="AD90" s="753"/>
      <c r="AE90" s="753"/>
      <c r="AF90" s="753"/>
      <c r="AG90" s="753"/>
      <c r="AH90" s="753"/>
      <c r="AI90" s="753"/>
      <c r="AJ90" s="753"/>
      <c r="AK90" s="753"/>
      <c r="AL90" s="753"/>
      <c r="AM90" s="753"/>
      <c r="AN90" s="753"/>
      <c r="AO90" s="753"/>
      <c r="AP90" s="753"/>
      <c r="AQ90" s="753"/>
      <c r="AR90" s="753"/>
      <c r="AS90" s="753"/>
      <c r="AT90" s="753"/>
      <c r="AU90" s="753"/>
      <c r="AV90" s="753"/>
      <c r="AW90" s="753"/>
      <c r="AX90" s="753"/>
      <c r="AY90" s="753"/>
      <c r="AZ90" s="753"/>
      <c r="BA90" s="753"/>
      <c r="BB90" s="753"/>
      <c r="BC90" s="753"/>
      <c r="BD90" s="753"/>
      <c r="BE90" s="753"/>
      <c r="BF90" s="753"/>
      <c r="BG90" s="753"/>
      <c r="BH90" s="753"/>
      <c r="BI90" s="753"/>
      <c r="BJ90" s="753"/>
      <c r="BK90" s="753"/>
      <c r="BL90" s="753"/>
      <c r="BM90" s="753"/>
      <c r="BN90" s="753"/>
      <c r="BO90" s="753"/>
      <c r="BP90" s="753"/>
      <c r="BQ90" s="753"/>
      <c r="BR90" s="753"/>
      <c r="BS90" s="753"/>
      <c r="BT90" s="753"/>
      <c r="BU90" s="753"/>
      <c r="BV90" s="753"/>
      <c r="BW90" s="753"/>
      <c r="BX90" s="753"/>
      <c r="BY90" s="753"/>
      <c r="BZ90" s="753"/>
      <c r="CA90" s="753"/>
      <c r="CB90" s="753"/>
      <c r="CC90" s="753"/>
      <c r="CD90" s="753"/>
      <c r="CE90" s="753"/>
      <c r="CF90" s="753"/>
      <c r="CG90" s="753"/>
      <c r="CH90" s="753"/>
      <c r="CI90" s="753"/>
      <c r="CJ90" s="753"/>
      <c r="CK90" s="753"/>
      <c r="CL90" s="753"/>
      <c r="CM90" s="753"/>
      <c r="CN90" s="753"/>
      <c r="CO90" s="753"/>
      <c r="CP90" s="753"/>
      <c r="CQ90" s="753"/>
      <c r="CR90" s="753"/>
      <c r="CS90" s="753"/>
      <c r="CT90" s="753"/>
      <c r="CU90" s="753"/>
      <c r="CV90" s="753"/>
      <c r="CW90" s="753"/>
      <c r="CX90" s="753"/>
      <c r="CY90" s="753"/>
      <c r="CZ90" s="753"/>
      <c r="DA90" s="753"/>
      <c r="DB90" s="753"/>
      <c r="DC90" s="753"/>
      <c r="DD90" s="753"/>
      <c r="DE90" s="753"/>
      <c r="DF90" s="753"/>
      <c r="DG90" s="753"/>
      <c r="DH90" s="753"/>
      <c r="DI90" s="753"/>
      <c r="DJ90" s="753"/>
      <c r="DK90" s="753"/>
      <c r="DL90" s="753"/>
      <c r="DM90" s="753"/>
      <c r="DN90" s="753"/>
      <c r="DO90" s="753"/>
      <c r="DP90" s="753"/>
    </row>
    <row r="91" spans="14:120" x14ac:dyDescent="0.25">
      <c r="N91" s="753"/>
      <c r="U91" s="753"/>
      <c r="V91" s="753"/>
      <c r="W91" s="753"/>
      <c r="X91" s="753"/>
      <c r="Y91" s="753"/>
      <c r="Z91" s="753"/>
      <c r="AA91" s="753"/>
      <c r="AB91" s="753"/>
      <c r="AC91" s="753"/>
      <c r="AD91" s="753"/>
      <c r="AE91" s="753"/>
      <c r="AF91" s="753"/>
      <c r="AG91" s="753"/>
      <c r="AH91" s="753"/>
      <c r="AI91" s="753"/>
      <c r="AJ91" s="753"/>
      <c r="AK91" s="753"/>
      <c r="AL91" s="753"/>
      <c r="AM91" s="753"/>
      <c r="AN91" s="753"/>
      <c r="AO91" s="753"/>
      <c r="AP91" s="753"/>
      <c r="AQ91" s="753"/>
      <c r="AR91" s="753"/>
      <c r="AS91" s="753"/>
      <c r="AT91" s="753"/>
      <c r="AU91" s="753"/>
      <c r="AV91" s="753"/>
      <c r="AW91" s="753"/>
      <c r="AX91" s="753"/>
      <c r="AY91" s="753"/>
      <c r="AZ91" s="753"/>
      <c r="BA91" s="753"/>
      <c r="BB91" s="753"/>
      <c r="BC91" s="753"/>
      <c r="BD91" s="753"/>
      <c r="BE91" s="753"/>
      <c r="BF91" s="753"/>
      <c r="BG91" s="753"/>
      <c r="BH91" s="753"/>
      <c r="BI91" s="753"/>
      <c r="BJ91" s="753"/>
      <c r="BK91" s="753"/>
      <c r="BL91" s="753"/>
      <c r="BM91" s="753"/>
      <c r="BN91" s="753"/>
      <c r="BO91" s="753"/>
      <c r="BP91" s="753"/>
      <c r="BQ91" s="753"/>
      <c r="BR91" s="753"/>
      <c r="BS91" s="753"/>
      <c r="BT91" s="753"/>
      <c r="BU91" s="753"/>
      <c r="BV91" s="753"/>
      <c r="BW91" s="753"/>
      <c r="BX91" s="753"/>
      <c r="BY91" s="753"/>
      <c r="BZ91" s="753"/>
      <c r="CA91" s="753"/>
      <c r="CB91" s="753"/>
      <c r="CC91" s="753"/>
      <c r="CD91" s="753"/>
      <c r="CE91" s="753"/>
      <c r="CF91" s="753"/>
      <c r="CG91" s="753"/>
      <c r="CH91" s="753"/>
      <c r="CI91" s="753"/>
      <c r="CJ91" s="753"/>
      <c r="CK91" s="753"/>
      <c r="CL91" s="753"/>
      <c r="CM91" s="753"/>
      <c r="CN91" s="753"/>
      <c r="CO91" s="753"/>
      <c r="CP91" s="753"/>
      <c r="CQ91" s="753"/>
      <c r="CR91" s="753"/>
      <c r="CS91" s="753"/>
      <c r="CT91" s="753"/>
      <c r="CU91" s="753"/>
      <c r="CV91" s="753"/>
      <c r="CW91" s="753"/>
      <c r="CX91" s="753"/>
      <c r="CY91" s="753"/>
      <c r="CZ91" s="753"/>
      <c r="DA91" s="753"/>
      <c r="DB91" s="753"/>
      <c r="DC91" s="753"/>
      <c r="DD91" s="753"/>
      <c r="DE91" s="753"/>
      <c r="DF91" s="753"/>
      <c r="DG91" s="753"/>
      <c r="DH91" s="753"/>
      <c r="DI91" s="753"/>
      <c r="DJ91" s="753"/>
      <c r="DK91" s="753"/>
      <c r="DL91" s="753"/>
      <c r="DM91" s="753"/>
      <c r="DN91" s="753"/>
      <c r="DO91" s="753"/>
      <c r="DP91" s="753"/>
    </row>
    <row r="92" spans="14:120" x14ac:dyDescent="0.25">
      <c r="N92" s="753"/>
      <c r="U92" s="753"/>
      <c r="V92" s="753"/>
      <c r="W92" s="753"/>
      <c r="X92" s="753"/>
      <c r="Y92" s="753"/>
      <c r="Z92" s="753"/>
      <c r="AA92" s="753"/>
      <c r="AB92" s="753"/>
      <c r="AC92" s="753"/>
      <c r="AD92" s="753"/>
      <c r="AE92" s="753"/>
      <c r="AF92" s="753"/>
      <c r="AG92" s="753"/>
      <c r="AH92" s="753"/>
      <c r="AI92" s="753"/>
      <c r="AJ92" s="753"/>
      <c r="AK92" s="753"/>
      <c r="AL92" s="753"/>
      <c r="AM92" s="753"/>
      <c r="AN92" s="753"/>
      <c r="AO92" s="753"/>
      <c r="AP92" s="753"/>
      <c r="AQ92" s="753"/>
      <c r="AR92" s="753"/>
      <c r="AS92" s="753"/>
      <c r="AT92" s="753"/>
      <c r="AU92" s="753"/>
      <c r="AV92" s="753"/>
      <c r="AW92" s="753"/>
      <c r="AX92" s="753"/>
      <c r="AY92" s="753"/>
      <c r="AZ92" s="753"/>
      <c r="BA92" s="753"/>
      <c r="BB92" s="753"/>
      <c r="BC92" s="753"/>
      <c r="BD92" s="753"/>
      <c r="BE92" s="753"/>
      <c r="BF92" s="753"/>
      <c r="BG92" s="753"/>
      <c r="BH92" s="753"/>
      <c r="BI92" s="753"/>
      <c r="BJ92" s="753"/>
      <c r="BK92" s="753"/>
      <c r="BL92" s="753"/>
      <c r="BM92" s="753"/>
      <c r="BN92" s="753"/>
      <c r="BO92" s="753"/>
      <c r="BP92" s="753"/>
      <c r="BQ92" s="753"/>
      <c r="BR92" s="753"/>
      <c r="BS92" s="753"/>
      <c r="BT92" s="753"/>
      <c r="BU92" s="753"/>
      <c r="BV92" s="753"/>
      <c r="BW92" s="753"/>
      <c r="BX92" s="753"/>
      <c r="BY92" s="753"/>
      <c r="BZ92" s="753"/>
      <c r="CA92" s="753"/>
      <c r="CB92" s="753"/>
      <c r="CC92" s="753"/>
      <c r="CD92" s="753"/>
      <c r="CE92" s="753"/>
      <c r="CF92" s="753"/>
      <c r="CG92" s="753"/>
      <c r="CH92" s="753"/>
      <c r="CI92" s="753"/>
      <c r="CJ92" s="753"/>
      <c r="CK92" s="753"/>
      <c r="CL92" s="753"/>
      <c r="CM92" s="753"/>
      <c r="CN92" s="753"/>
      <c r="CO92" s="753"/>
      <c r="CP92" s="753"/>
      <c r="CQ92" s="753"/>
      <c r="CR92" s="753"/>
      <c r="CS92" s="753"/>
      <c r="CT92" s="753"/>
      <c r="CU92" s="753"/>
      <c r="CV92" s="753"/>
      <c r="CW92" s="753"/>
      <c r="CX92" s="753"/>
      <c r="CY92" s="753"/>
      <c r="CZ92" s="753"/>
      <c r="DA92" s="753"/>
      <c r="DB92" s="753"/>
      <c r="DC92" s="753"/>
      <c r="DD92" s="753"/>
      <c r="DE92" s="753"/>
      <c r="DF92" s="753"/>
      <c r="DG92" s="753"/>
      <c r="DH92" s="753"/>
      <c r="DI92" s="753"/>
      <c r="DJ92" s="753"/>
      <c r="DK92" s="753"/>
      <c r="DL92" s="753"/>
      <c r="DM92" s="753"/>
      <c r="DN92" s="753"/>
      <c r="DO92" s="753"/>
      <c r="DP92" s="753"/>
    </row>
    <row r="93" spans="14:120" x14ac:dyDescent="0.25">
      <c r="N93" s="753"/>
      <c r="U93" s="753"/>
      <c r="V93" s="753"/>
      <c r="W93" s="753"/>
      <c r="X93" s="753"/>
      <c r="Y93" s="753"/>
      <c r="Z93" s="753"/>
      <c r="AA93" s="753"/>
      <c r="AB93" s="753"/>
      <c r="AC93" s="753"/>
      <c r="AD93" s="753"/>
      <c r="AE93" s="753"/>
      <c r="AF93" s="753"/>
      <c r="AG93" s="753"/>
      <c r="AH93" s="753"/>
      <c r="AI93" s="753"/>
      <c r="AJ93" s="753"/>
      <c r="AK93" s="753"/>
      <c r="AL93" s="753"/>
      <c r="AM93" s="753"/>
      <c r="AN93" s="753"/>
      <c r="AO93" s="753"/>
      <c r="AP93" s="753"/>
      <c r="AQ93" s="753"/>
      <c r="AR93" s="753"/>
      <c r="AS93" s="753"/>
      <c r="AT93" s="753"/>
      <c r="AU93" s="753"/>
      <c r="AV93" s="753"/>
      <c r="AW93" s="753"/>
      <c r="AX93" s="753"/>
      <c r="AY93" s="753"/>
      <c r="AZ93" s="753"/>
      <c r="BA93" s="753"/>
      <c r="BB93" s="753"/>
      <c r="BC93" s="753"/>
      <c r="BD93" s="753"/>
      <c r="BE93" s="753"/>
      <c r="BF93" s="753"/>
      <c r="BG93" s="753"/>
      <c r="BH93" s="753"/>
      <c r="BI93" s="753"/>
      <c r="BJ93" s="753"/>
      <c r="BK93" s="753"/>
      <c r="BL93" s="753"/>
      <c r="BM93" s="753"/>
      <c r="BN93" s="753"/>
      <c r="BO93" s="753"/>
      <c r="BP93" s="753"/>
      <c r="BQ93" s="753"/>
      <c r="BR93" s="753"/>
      <c r="BS93" s="753"/>
      <c r="BT93" s="753"/>
      <c r="BU93" s="753"/>
      <c r="BV93" s="753"/>
      <c r="BW93" s="753"/>
      <c r="BX93" s="753"/>
      <c r="BY93" s="753"/>
      <c r="BZ93" s="753"/>
      <c r="CA93" s="753"/>
      <c r="CB93" s="753"/>
      <c r="CC93" s="753"/>
      <c r="CD93" s="753"/>
      <c r="CE93" s="753"/>
      <c r="CF93" s="753"/>
      <c r="CG93" s="753"/>
      <c r="CH93" s="753"/>
      <c r="CI93" s="753"/>
      <c r="CJ93" s="753"/>
      <c r="CK93" s="753"/>
      <c r="CL93" s="753"/>
      <c r="CM93" s="753"/>
      <c r="CN93" s="753"/>
      <c r="CO93" s="753"/>
      <c r="CP93" s="753"/>
      <c r="CQ93" s="753"/>
      <c r="CR93" s="753"/>
      <c r="CS93" s="753"/>
      <c r="CT93" s="753"/>
      <c r="CU93" s="753"/>
      <c r="CV93" s="753"/>
      <c r="CW93" s="753"/>
      <c r="CX93" s="753"/>
      <c r="CY93" s="753"/>
      <c r="CZ93" s="753"/>
      <c r="DA93" s="753"/>
      <c r="DB93" s="753"/>
      <c r="DC93" s="753"/>
      <c r="DD93" s="753"/>
      <c r="DE93" s="753"/>
      <c r="DF93" s="753"/>
      <c r="DG93" s="753"/>
      <c r="DH93" s="753"/>
      <c r="DI93" s="753"/>
      <c r="DJ93" s="753"/>
      <c r="DK93" s="753"/>
      <c r="DL93" s="753"/>
      <c r="DM93" s="753"/>
      <c r="DN93" s="753"/>
      <c r="DO93" s="753"/>
      <c r="DP93" s="753"/>
    </row>
    <row r="94" spans="14:120" x14ac:dyDescent="0.25">
      <c r="N94" s="753"/>
      <c r="U94" s="753"/>
      <c r="V94" s="753"/>
      <c r="W94" s="753"/>
      <c r="X94" s="753"/>
      <c r="Y94" s="753"/>
      <c r="Z94" s="753"/>
      <c r="AA94" s="753"/>
      <c r="AB94" s="753"/>
      <c r="AC94" s="753"/>
      <c r="AD94" s="753"/>
      <c r="AE94" s="753"/>
      <c r="AF94" s="753"/>
      <c r="AG94" s="753"/>
      <c r="AH94" s="753"/>
      <c r="AI94" s="753"/>
      <c r="AJ94" s="753"/>
      <c r="AK94" s="753"/>
      <c r="AL94" s="753"/>
      <c r="AM94" s="753"/>
      <c r="AN94" s="753"/>
      <c r="AO94" s="753"/>
      <c r="AP94" s="753"/>
      <c r="AQ94" s="753"/>
      <c r="AR94" s="753"/>
      <c r="AS94" s="753"/>
      <c r="AT94" s="753"/>
      <c r="AU94" s="753"/>
      <c r="AV94" s="753"/>
      <c r="AW94" s="753"/>
      <c r="AX94" s="753"/>
      <c r="AY94" s="753"/>
      <c r="AZ94" s="753"/>
      <c r="BA94" s="753"/>
      <c r="BB94" s="753"/>
      <c r="BC94" s="753"/>
      <c r="BD94" s="753"/>
      <c r="BE94" s="753"/>
      <c r="BF94" s="753"/>
      <c r="BG94" s="753"/>
      <c r="BH94" s="753"/>
      <c r="BI94" s="753"/>
      <c r="BJ94" s="753"/>
      <c r="BK94" s="753"/>
      <c r="BL94" s="753"/>
      <c r="BM94" s="753"/>
      <c r="BN94" s="753"/>
      <c r="BO94" s="753"/>
      <c r="BP94" s="753"/>
      <c r="BQ94" s="753"/>
      <c r="BR94" s="753"/>
      <c r="BS94" s="753"/>
      <c r="BT94" s="753"/>
      <c r="BU94" s="753"/>
      <c r="BV94" s="753"/>
      <c r="BW94" s="753"/>
      <c r="BX94" s="753"/>
      <c r="BY94" s="753"/>
      <c r="BZ94" s="753"/>
      <c r="CA94" s="753"/>
      <c r="CB94" s="753"/>
      <c r="CC94" s="753"/>
      <c r="CD94" s="753"/>
      <c r="CE94" s="753"/>
      <c r="CF94" s="753"/>
      <c r="CG94" s="753"/>
      <c r="CH94" s="753"/>
      <c r="CI94" s="753"/>
      <c r="CJ94" s="753"/>
      <c r="CK94" s="753"/>
      <c r="CL94" s="753"/>
      <c r="CM94" s="753"/>
      <c r="CN94" s="753"/>
      <c r="CO94" s="753"/>
      <c r="CP94" s="753"/>
      <c r="CQ94" s="753"/>
      <c r="CR94" s="753"/>
      <c r="CS94" s="753"/>
      <c r="CT94" s="753"/>
      <c r="CU94" s="753"/>
      <c r="CV94" s="753"/>
      <c r="CW94" s="753"/>
      <c r="CX94" s="753"/>
      <c r="CY94" s="753"/>
      <c r="CZ94" s="753"/>
      <c r="DA94" s="753"/>
      <c r="DB94" s="753"/>
      <c r="DC94" s="753"/>
      <c r="DD94" s="753"/>
      <c r="DE94" s="753"/>
      <c r="DF94" s="753"/>
      <c r="DG94" s="753"/>
      <c r="DH94" s="753"/>
      <c r="DI94" s="753"/>
      <c r="DJ94" s="753"/>
      <c r="DK94" s="753"/>
      <c r="DL94" s="753"/>
      <c r="DM94" s="753"/>
      <c r="DN94" s="753"/>
      <c r="DO94" s="753"/>
      <c r="DP94" s="753"/>
    </row>
    <row r="95" spans="14:120" x14ac:dyDescent="0.25">
      <c r="N95" s="753"/>
      <c r="U95" s="753"/>
      <c r="V95" s="753"/>
      <c r="W95" s="753"/>
      <c r="X95" s="753"/>
      <c r="Y95" s="753"/>
      <c r="Z95" s="753"/>
      <c r="AA95" s="753"/>
      <c r="AB95" s="753"/>
      <c r="AC95" s="753"/>
      <c r="AD95" s="753"/>
      <c r="AE95" s="753"/>
      <c r="AF95" s="753"/>
      <c r="AG95" s="753"/>
      <c r="AH95" s="753"/>
      <c r="AI95" s="753"/>
      <c r="AJ95" s="753"/>
      <c r="AK95" s="753"/>
      <c r="AL95" s="753"/>
      <c r="AM95" s="753"/>
      <c r="AN95" s="753"/>
      <c r="AO95" s="753"/>
      <c r="AP95" s="753"/>
      <c r="AQ95" s="753"/>
      <c r="AR95" s="753"/>
      <c r="AS95" s="753"/>
      <c r="AT95" s="753"/>
      <c r="AU95" s="753"/>
      <c r="AV95" s="753"/>
      <c r="AW95" s="753"/>
      <c r="AX95" s="753"/>
      <c r="AY95" s="753"/>
      <c r="AZ95" s="753"/>
      <c r="BA95" s="753"/>
      <c r="BB95" s="753"/>
      <c r="BC95" s="753"/>
      <c r="BD95" s="753"/>
      <c r="BE95" s="753"/>
      <c r="BF95" s="753"/>
      <c r="BG95" s="753"/>
      <c r="BH95" s="753"/>
      <c r="BI95" s="753"/>
      <c r="BJ95" s="753"/>
      <c r="BK95" s="753"/>
      <c r="BL95" s="753"/>
      <c r="BM95" s="753"/>
      <c r="BN95" s="753"/>
      <c r="BO95" s="753"/>
      <c r="BP95" s="753"/>
      <c r="BQ95" s="753"/>
      <c r="BR95" s="753"/>
      <c r="BS95" s="753"/>
      <c r="BT95" s="753"/>
      <c r="BU95" s="753"/>
      <c r="BV95" s="753"/>
      <c r="BW95" s="753"/>
      <c r="BX95" s="753"/>
      <c r="BY95" s="753"/>
      <c r="BZ95" s="753"/>
      <c r="CA95" s="753"/>
      <c r="CB95" s="753"/>
      <c r="CC95" s="753"/>
      <c r="CD95" s="753"/>
      <c r="CE95" s="753"/>
      <c r="CF95" s="753"/>
      <c r="CG95" s="753"/>
      <c r="CH95" s="753"/>
      <c r="CI95" s="753"/>
      <c r="CJ95" s="753"/>
      <c r="CK95" s="753"/>
      <c r="CL95" s="753"/>
      <c r="CM95" s="753"/>
      <c r="CN95" s="753"/>
      <c r="CO95" s="753"/>
      <c r="CP95" s="753"/>
      <c r="CQ95" s="753"/>
      <c r="CR95" s="753"/>
      <c r="CS95" s="753"/>
      <c r="CT95" s="753"/>
      <c r="CU95" s="753"/>
      <c r="CV95" s="753"/>
      <c r="CW95" s="753"/>
      <c r="CX95" s="753"/>
      <c r="CY95" s="753"/>
      <c r="CZ95" s="753"/>
      <c r="DA95" s="753"/>
      <c r="DB95" s="753"/>
      <c r="DC95" s="753"/>
      <c r="DD95" s="753"/>
      <c r="DE95" s="753"/>
      <c r="DF95" s="753"/>
      <c r="DG95" s="753"/>
      <c r="DH95" s="753"/>
      <c r="DI95" s="753"/>
      <c r="DJ95" s="753"/>
      <c r="DK95" s="753"/>
      <c r="DL95" s="753"/>
      <c r="DM95" s="753"/>
      <c r="DN95" s="753"/>
      <c r="DO95" s="753"/>
      <c r="DP95" s="753"/>
    </row>
    <row r="96" spans="14:120" x14ac:dyDescent="0.25">
      <c r="N96" s="753"/>
      <c r="U96" s="753"/>
      <c r="V96" s="753"/>
      <c r="W96" s="753"/>
      <c r="X96" s="753"/>
      <c r="Y96" s="753"/>
      <c r="Z96" s="753"/>
      <c r="AA96" s="753"/>
      <c r="AB96" s="753"/>
      <c r="AC96" s="753"/>
      <c r="AD96" s="753"/>
      <c r="AE96" s="753"/>
      <c r="AF96" s="753"/>
      <c r="AG96" s="753"/>
      <c r="AH96" s="753"/>
      <c r="AI96" s="753"/>
      <c r="AJ96" s="753"/>
      <c r="AK96" s="753"/>
      <c r="AL96" s="753"/>
      <c r="AM96" s="753"/>
      <c r="AN96" s="753"/>
      <c r="AO96" s="753"/>
      <c r="AP96" s="753"/>
      <c r="AQ96" s="753"/>
      <c r="AR96" s="753"/>
      <c r="AS96" s="753"/>
      <c r="AT96" s="753"/>
      <c r="AU96" s="753"/>
      <c r="AV96" s="753"/>
      <c r="AW96" s="753"/>
      <c r="AX96" s="753"/>
      <c r="AY96" s="753"/>
      <c r="AZ96" s="753"/>
      <c r="BA96" s="753"/>
      <c r="BB96" s="753"/>
      <c r="BC96" s="753"/>
      <c r="BD96" s="753"/>
      <c r="BE96" s="753"/>
      <c r="BF96" s="753"/>
      <c r="BG96" s="753"/>
      <c r="BH96" s="753"/>
      <c r="BI96" s="753"/>
      <c r="BJ96" s="753"/>
      <c r="BK96" s="753"/>
      <c r="BL96" s="753"/>
      <c r="BM96" s="753"/>
      <c r="BN96" s="753"/>
      <c r="BO96" s="753"/>
      <c r="BP96" s="753"/>
      <c r="BQ96" s="753"/>
      <c r="BR96" s="753"/>
      <c r="BS96" s="753"/>
      <c r="BT96" s="753"/>
      <c r="BU96" s="753"/>
      <c r="BV96" s="753"/>
      <c r="BW96" s="753"/>
      <c r="BX96" s="753"/>
      <c r="BY96" s="753"/>
      <c r="BZ96" s="753"/>
      <c r="CA96" s="753"/>
      <c r="CB96" s="753"/>
      <c r="CC96" s="753"/>
      <c r="CD96" s="753"/>
      <c r="CE96" s="753"/>
      <c r="CF96" s="753"/>
      <c r="CG96" s="753"/>
      <c r="CH96" s="753"/>
      <c r="CI96" s="753"/>
      <c r="CJ96" s="753"/>
      <c r="CK96" s="753"/>
      <c r="CL96" s="753"/>
      <c r="CM96" s="753"/>
      <c r="CN96" s="753"/>
      <c r="CO96" s="753"/>
      <c r="CP96" s="753"/>
      <c r="CQ96" s="753"/>
      <c r="CR96" s="753"/>
      <c r="CS96" s="753"/>
      <c r="CT96" s="753"/>
      <c r="CU96" s="753"/>
      <c r="CV96" s="753"/>
      <c r="CW96" s="753"/>
      <c r="CX96" s="753"/>
      <c r="CY96" s="753"/>
      <c r="CZ96" s="753"/>
      <c r="DA96" s="753"/>
      <c r="DB96" s="753"/>
      <c r="DC96" s="753"/>
      <c r="DD96" s="753"/>
      <c r="DE96" s="753"/>
      <c r="DF96" s="753"/>
      <c r="DG96" s="753"/>
      <c r="DH96" s="753"/>
      <c r="DI96" s="753"/>
      <c r="DJ96" s="753"/>
      <c r="DK96" s="753"/>
      <c r="DL96" s="753"/>
      <c r="DM96" s="753"/>
      <c r="DN96" s="753"/>
      <c r="DO96" s="753"/>
      <c r="DP96" s="753"/>
    </row>
    <row r="97" spans="14:120" x14ac:dyDescent="0.25">
      <c r="N97" s="753"/>
      <c r="U97" s="753"/>
      <c r="V97" s="753"/>
      <c r="W97" s="753"/>
      <c r="X97" s="753"/>
      <c r="Y97" s="753"/>
      <c r="Z97" s="753"/>
      <c r="AA97" s="753"/>
      <c r="AB97" s="753"/>
      <c r="AC97" s="753"/>
      <c r="AD97" s="753"/>
      <c r="AE97" s="753"/>
      <c r="AF97" s="753"/>
      <c r="AG97" s="753"/>
      <c r="AH97" s="753"/>
      <c r="AI97" s="753"/>
      <c r="AJ97" s="753"/>
      <c r="AK97" s="753"/>
      <c r="AL97" s="753"/>
      <c r="AM97" s="753"/>
      <c r="AN97" s="753"/>
      <c r="AO97" s="753"/>
      <c r="AP97" s="753"/>
      <c r="AQ97" s="753"/>
      <c r="AR97" s="753"/>
      <c r="AS97" s="753"/>
      <c r="AT97" s="753"/>
      <c r="AU97" s="753"/>
      <c r="AV97" s="753"/>
      <c r="AW97" s="753"/>
      <c r="AX97" s="753"/>
      <c r="AY97" s="753"/>
      <c r="AZ97" s="753"/>
      <c r="BA97" s="753"/>
      <c r="BB97" s="753"/>
      <c r="BC97" s="753"/>
      <c r="BD97" s="753"/>
      <c r="BE97" s="753"/>
      <c r="BF97" s="753"/>
      <c r="BG97" s="753"/>
      <c r="BH97" s="753"/>
      <c r="BI97" s="753"/>
      <c r="BJ97" s="753"/>
      <c r="BK97" s="753"/>
      <c r="BL97" s="753"/>
      <c r="BM97" s="753"/>
      <c r="BN97" s="753"/>
      <c r="BO97" s="753"/>
      <c r="BP97" s="753"/>
      <c r="BQ97" s="753"/>
      <c r="BR97" s="753"/>
      <c r="BS97" s="753"/>
      <c r="BT97" s="753"/>
      <c r="BU97" s="753"/>
      <c r="BV97" s="753"/>
      <c r="BW97" s="753"/>
      <c r="BX97" s="753"/>
      <c r="BY97" s="753"/>
      <c r="BZ97" s="753"/>
      <c r="CA97" s="753"/>
      <c r="CB97" s="753"/>
      <c r="CC97" s="753"/>
      <c r="CD97" s="753"/>
      <c r="CE97" s="753"/>
      <c r="CF97" s="753"/>
      <c r="CG97" s="753"/>
      <c r="CH97" s="753"/>
      <c r="CI97" s="753"/>
      <c r="CJ97" s="753"/>
      <c r="CK97" s="753"/>
      <c r="CL97" s="753"/>
      <c r="CM97" s="753"/>
      <c r="CN97" s="753"/>
      <c r="CO97" s="753"/>
      <c r="CP97" s="753"/>
      <c r="CQ97" s="753"/>
      <c r="CR97" s="753"/>
      <c r="CS97" s="753"/>
      <c r="CT97" s="753"/>
      <c r="CU97" s="753"/>
      <c r="CV97" s="753"/>
      <c r="CW97" s="753"/>
      <c r="CX97" s="753"/>
      <c r="CY97" s="753"/>
      <c r="CZ97" s="753"/>
      <c r="DA97" s="753"/>
      <c r="DB97" s="753"/>
      <c r="DC97" s="753"/>
      <c r="DD97" s="753"/>
      <c r="DE97" s="753"/>
      <c r="DF97" s="753"/>
      <c r="DG97" s="753"/>
      <c r="DH97" s="753"/>
      <c r="DI97" s="753"/>
      <c r="DJ97" s="753"/>
      <c r="DK97" s="753"/>
      <c r="DL97" s="753"/>
      <c r="DM97" s="753"/>
      <c r="DN97" s="753"/>
      <c r="DO97" s="753"/>
      <c r="DP97" s="753"/>
    </row>
    <row r="98" spans="14:120" x14ac:dyDescent="0.25">
      <c r="N98" s="753"/>
      <c r="U98" s="753"/>
      <c r="V98" s="753"/>
      <c r="W98" s="753"/>
      <c r="X98" s="753"/>
      <c r="Y98" s="753"/>
      <c r="Z98" s="753"/>
      <c r="AA98" s="753"/>
      <c r="AB98" s="753"/>
      <c r="AC98" s="753"/>
      <c r="AD98" s="753"/>
      <c r="AE98" s="753"/>
      <c r="AF98" s="753"/>
      <c r="AG98" s="753"/>
      <c r="AH98" s="753"/>
      <c r="AI98" s="753"/>
      <c r="AJ98" s="753"/>
      <c r="AK98" s="753"/>
      <c r="AL98" s="753"/>
      <c r="AM98" s="753"/>
      <c r="AN98" s="753"/>
      <c r="AO98" s="753"/>
      <c r="AP98" s="753"/>
      <c r="AQ98" s="753"/>
      <c r="AR98" s="753"/>
      <c r="AS98" s="753"/>
      <c r="AT98" s="753"/>
      <c r="AU98" s="753"/>
      <c r="AV98" s="753"/>
      <c r="AW98" s="753"/>
      <c r="AX98" s="753"/>
      <c r="AY98" s="753"/>
      <c r="AZ98" s="753"/>
      <c r="BA98" s="753"/>
      <c r="BB98" s="753"/>
      <c r="BC98" s="753"/>
      <c r="BD98" s="753"/>
      <c r="BE98" s="753"/>
      <c r="BF98" s="753"/>
      <c r="BG98" s="753"/>
      <c r="BH98" s="753"/>
      <c r="BI98" s="753"/>
      <c r="BJ98" s="753"/>
      <c r="BK98" s="753"/>
      <c r="BL98" s="753"/>
      <c r="BM98" s="753"/>
      <c r="BN98" s="753"/>
      <c r="BO98" s="753"/>
      <c r="BP98" s="753"/>
      <c r="BQ98" s="753"/>
      <c r="BR98" s="753"/>
      <c r="BS98" s="753"/>
      <c r="BT98" s="753"/>
      <c r="BU98" s="753"/>
      <c r="BV98" s="753"/>
      <c r="BW98" s="753"/>
      <c r="BX98" s="753"/>
      <c r="BY98" s="753"/>
      <c r="BZ98" s="753"/>
      <c r="CA98" s="753"/>
      <c r="CB98" s="753"/>
      <c r="CC98" s="753"/>
      <c r="CD98" s="753"/>
      <c r="CE98" s="753"/>
      <c r="CF98" s="753"/>
      <c r="CG98" s="753"/>
      <c r="CH98" s="753"/>
      <c r="CI98" s="753"/>
      <c r="CJ98" s="753"/>
      <c r="CK98" s="753"/>
      <c r="CL98" s="753"/>
      <c r="CM98" s="753"/>
      <c r="CN98" s="753"/>
      <c r="CO98" s="753"/>
      <c r="CP98" s="753"/>
      <c r="CQ98" s="753"/>
      <c r="CR98" s="753"/>
      <c r="CS98" s="753"/>
      <c r="CT98" s="753"/>
      <c r="CU98" s="753"/>
      <c r="CV98" s="753"/>
      <c r="CW98" s="753"/>
      <c r="CX98" s="753"/>
      <c r="CY98" s="753"/>
      <c r="CZ98" s="753"/>
      <c r="DA98" s="753"/>
      <c r="DB98" s="753"/>
      <c r="DC98" s="753"/>
      <c r="DD98" s="753"/>
      <c r="DE98" s="753"/>
      <c r="DF98" s="753"/>
      <c r="DG98" s="753"/>
      <c r="DH98" s="753"/>
      <c r="DI98" s="753"/>
      <c r="DJ98" s="753"/>
      <c r="DK98" s="753"/>
      <c r="DL98" s="753"/>
      <c r="DM98" s="753"/>
      <c r="DN98" s="753"/>
      <c r="DO98" s="753"/>
      <c r="DP98" s="753"/>
    </row>
    <row r="99" spans="14:120" x14ac:dyDescent="0.25">
      <c r="N99" s="753"/>
      <c r="U99" s="753"/>
      <c r="V99" s="753"/>
      <c r="W99" s="753"/>
      <c r="X99" s="753"/>
      <c r="Y99" s="753"/>
      <c r="Z99" s="753"/>
      <c r="AA99" s="753"/>
      <c r="AB99" s="753"/>
      <c r="AC99" s="753"/>
      <c r="AD99" s="753"/>
      <c r="AE99" s="753"/>
      <c r="AF99" s="753"/>
      <c r="AG99" s="753"/>
      <c r="AH99" s="753"/>
      <c r="AI99" s="753"/>
      <c r="AJ99" s="753"/>
      <c r="AK99" s="753"/>
      <c r="AL99" s="753"/>
      <c r="AM99" s="753"/>
      <c r="AN99" s="753"/>
      <c r="AO99" s="753"/>
      <c r="AP99" s="753"/>
      <c r="AQ99" s="753"/>
      <c r="AR99" s="753"/>
      <c r="AS99" s="753"/>
      <c r="AT99" s="753"/>
      <c r="AU99" s="753"/>
      <c r="AV99" s="753"/>
      <c r="AW99" s="753"/>
      <c r="AX99" s="753"/>
      <c r="AY99" s="753"/>
      <c r="AZ99" s="753"/>
      <c r="BA99" s="753"/>
      <c r="BB99" s="753"/>
      <c r="BC99" s="753"/>
      <c r="BD99" s="753"/>
      <c r="BE99" s="753"/>
      <c r="BF99" s="753"/>
      <c r="BG99" s="753"/>
      <c r="BH99" s="753"/>
      <c r="BI99" s="753"/>
      <c r="BJ99" s="753"/>
      <c r="BK99" s="753"/>
      <c r="BL99" s="753"/>
      <c r="BM99" s="753"/>
      <c r="BN99" s="753"/>
      <c r="BO99" s="753"/>
      <c r="BP99" s="753"/>
      <c r="BQ99" s="753"/>
      <c r="BR99" s="753"/>
      <c r="BS99" s="753"/>
      <c r="BT99" s="753"/>
      <c r="BU99" s="753"/>
      <c r="BV99" s="753"/>
      <c r="BW99" s="753"/>
      <c r="BX99" s="753"/>
      <c r="BY99" s="753"/>
      <c r="BZ99" s="753"/>
      <c r="CA99" s="753"/>
      <c r="CB99" s="753"/>
      <c r="CC99" s="753"/>
      <c r="CD99" s="753"/>
      <c r="CE99" s="753"/>
      <c r="CF99" s="753"/>
      <c r="CG99" s="753"/>
      <c r="CH99" s="753"/>
      <c r="CI99" s="753"/>
      <c r="CJ99" s="753"/>
      <c r="CK99" s="753"/>
      <c r="CL99" s="753"/>
      <c r="CM99" s="753"/>
      <c r="CN99" s="753"/>
      <c r="CO99" s="753"/>
      <c r="CP99" s="753"/>
      <c r="CQ99" s="753"/>
      <c r="CR99" s="753"/>
      <c r="CS99" s="753"/>
      <c r="CT99" s="753"/>
      <c r="CU99" s="753"/>
      <c r="CV99" s="753"/>
      <c r="CW99" s="753"/>
      <c r="CX99" s="753"/>
      <c r="CY99" s="753"/>
      <c r="CZ99" s="753"/>
      <c r="DA99" s="753"/>
      <c r="DB99" s="753"/>
      <c r="DC99" s="753"/>
      <c r="DD99" s="753"/>
      <c r="DE99" s="753"/>
      <c r="DF99" s="753"/>
      <c r="DG99" s="753"/>
      <c r="DH99" s="753"/>
      <c r="DI99" s="753"/>
      <c r="DJ99" s="753"/>
      <c r="DK99" s="753"/>
      <c r="DL99" s="753"/>
      <c r="DM99" s="753"/>
      <c r="DN99" s="753"/>
      <c r="DO99" s="753"/>
      <c r="DP99" s="753"/>
    </row>
    <row r="100" spans="14:120" x14ac:dyDescent="0.25">
      <c r="N100" s="753"/>
      <c r="U100" s="753"/>
      <c r="V100" s="753"/>
      <c r="W100" s="753"/>
      <c r="X100" s="753"/>
      <c r="Y100" s="753"/>
      <c r="Z100" s="753"/>
      <c r="AA100" s="753"/>
      <c r="AB100" s="753"/>
      <c r="AC100" s="753"/>
      <c r="AD100" s="753"/>
      <c r="AE100" s="753"/>
      <c r="AF100" s="753"/>
      <c r="AG100" s="753"/>
      <c r="AH100" s="753"/>
      <c r="AI100" s="753"/>
      <c r="AJ100" s="753"/>
      <c r="AK100" s="753"/>
      <c r="AL100" s="753"/>
      <c r="AM100" s="753"/>
      <c r="AN100" s="753"/>
      <c r="AO100" s="753"/>
      <c r="AP100" s="753"/>
      <c r="AQ100" s="753"/>
      <c r="AR100" s="753"/>
      <c r="AS100" s="753"/>
      <c r="AT100" s="753"/>
      <c r="AU100" s="753"/>
      <c r="AV100" s="753"/>
      <c r="AW100" s="753"/>
      <c r="AX100" s="753"/>
      <c r="AY100" s="753"/>
      <c r="AZ100" s="753"/>
      <c r="BA100" s="753"/>
      <c r="BB100" s="753"/>
      <c r="BC100" s="753"/>
      <c r="BD100" s="753"/>
      <c r="BE100" s="753"/>
      <c r="BF100" s="753"/>
      <c r="BG100" s="753"/>
      <c r="BH100" s="753"/>
      <c r="BI100" s="753"/>
      <c r="BJ100" s="753"/>
      <c r="BK100" s="753"/>
      <c r="BL100" s="753"/>
      <c r="BM100" s="753"/>
      <c r="BN100" s="753"/>
      <c r="BO100" s="753"/>
      <c r="BP100" s="753"/>
      <c r="BQ100" s="753"/>
      <c r="BR100" s="753"/>
      <c r="BS100" s="753"/>
      <c r="BT100" s="753"/>
      <c r="BU100" s="753"/>
      <c r="BV100" s="753"/>
      <c r="BW100" s="753"/>
      <c r="BX100" s="753"/>
      <c r="BY100" s="753"/>
      <c r="BZ100" s="753"/>
      <c r="CA100" s="753"/>
      <c r="CB100" s="753"/>
      <c r="CC100" s="753"/>
      <c r="CD100" s="753"/>
      <c r="CE100" s="753"/>
      <c r="CF100" s="753"/>
      <c r="CG100" s="753"/>
      <c r="CH100" s="753"/>
      <c r="CI100" s="753"/>
      <c r="CJ100" s="753"/>
      <c r="CK100" s="753"/>
      <c r="CL100" s="753"/>
      <c r="CM100" s="753"/>
      <c r="CN100" s="753"/>
      <c r="CO100" s="753"/>
      <c r="CP100" s="753"/>
      <c r="CQ100" s="753"/>
      <c r="CR100" s="753"/>
      <c r="CS100" s="753"/>
      <c r="CT100" s="753"/>
      <c r="CU100" s="753"/>
      <c r="CV100" s="753"/>
      <c r="CW100" s="753"/>
      <c r="CX100" s="753"/>
      <c r="CY100" s="753"/>
      <c r="CZ100" s="753"/>
      <c r="DA100" s="753"/>
      <c r="DB100" s="753"/>
      <c r="DC100" s="753"/>
      <c r="DD100" s="753"/>
      <c r="DE100" s="753"/>
      <c r="DF100" s="753"/>
      <c r="DG100" s="753"/>
      <c r="DH100" s="753"/>
      <c r="DI100" s="753"/>
      <c r="DJ100" s="753"/>
      <c r="DK100" s="753"/>
      <c r="DL100" s="753"/>
      <c r="DM100" s="753"/>
      <c r="DN100" s="753"/>
      <c r="DO100" s="753"/>
      <c r="DP100" s="753"/>
    </row>
    <row r="101" spans="14:120" x14ac:dyDescent="0.25">
      <c r="N101" s="753"/>
      <c r="U101" s="753"/>
      <c r="V101" s="753"/>
      <c r="W101" s="753"/>
      <c r="X101" s="753"/>
      <c r="Y101" s="753"/>
      <c r="Z101" s="753"/>
      <c r="AA101" s="753"/>
      <c r="AB101" s="753"/>
      <c r="AC101" s="753"/>
      <c r="AD101" s="753"/>
      <c r="AE101" s="753"/>
      <c r="AF101" s="753"/>
      <c r="AG101" s="753"/>
      <c r="AH101" s="753"/>
      <c r="AI101" s="753"/>
      <c r="AJ101" s="753"/>
      <c r="AK101" s="753"/>
      <c r="AL101" s="753"/>
      <c r="AM101" s="753"/>
      <c r="AN101" s="753"/>
      <c r="AO101" s="753"/>
      <c r="AP101" s="753"/>
      <c r="AQ101" s="753"/>
      <c r="AR101" s="753"/>
      <c r="AS101" s="753"/>
      <c r="AT101" s="753"/>
      <c r="AU101" s="753"/>
      <c r="AV101" s="753"/>
      <c r="AW101" s="753"/>
      <c r="AX101" s="753"/>
      <c r="AY101" s="753"/>
      <c r="AZ101" s="753"/>
      <c r="BA101" s="753"/>
      <c r="BB101" s="753"/>
      <c r="BC101" s="753"/>
      <c r="BD101" s="753"/>
      <c r="BE101" s="753"/>
      <c r="BF101" s="753"/>
      <c r="BG101" s="753"/>
      <c r="BH101" s="753"/>
      <c r="BI101" s="753"/>
      <c r="BJ101" s="753"/>
      <c r="BK101" s="753"/>
      <c r="BL101" s="753"/>
      <c r="BM101" s="753"/>
      <c r="BN101" s="753"/>
      <c r="BO101" s="753"/>
      <c r="BP101" s="753"/>
      <c r="BQ101" s="753"/>
      <c r="BR101" s="753"/>
      <c r="BS101" s="753"/>
      <c r="BT101" s="753"/>
      <c r="BU101" s="753"/>
      <c r="BV101" s="753"/>
      <c r="BW101" s="753"/>
      <c r="BX101" s="753"/>
      <c r="BY101" s="753"/>
      <c r="BZ101" s="753"/>
      <c r="CA101" s="753"/>
      <c r="CB101" s="753"/>
      <c r="CC101" s="753"/>
      <c r="CD101" s="753"/>
      <c r="CE101" s="753"/>
      <c r="CF101" s="753"/>
      <c r="CG101" s="753"/>
      <c r="CH101" s="753"/>
      <c r="CI101" s="753"/>
      <c r="CJ101" s="753"/>
      <c r="CK101" s="753"/>
      <c r="CL101" s="753"/>
      <c r="CM101" s="753"/>
      <c r="CN101" s="753"/>
      <c r="CO101" s="753"/>
      <c r="CP101" s="753"/>
      <c r="CQ101" s="753"/>
      <c r="CR101" s="753"/>
      <c r="CS101" s="753"/>
      <c r="CT101" s="753"/>
      <c r="CU101" s="753"/>
      <c r="CV101" s="753"/>
      <c r="CW101" s="753"/>
      <c r="CX101" s="753"/>
      <c r="CY101" s="753"/>
      <c r="CZ101" s="753"/>
      <c r="DA101" s="753"/>
      <c r="DB101" s="753"/>
      <c r="DC101" s="753"/>
      <c r="DD101" s="753"/>
      <c r="DE101" s="753"/>
      <c r="DF101" s="753"/>
      <c r="DG101" s="753"/>
      <c r="DH101" s="753"/>
      <c r="DI101" s="753"/>
      <c r="DJ101" s="753"/>
      <c r="DK101" s="753"/>
      <c r="DL101" s="753"/>
      <c r="DM101" s="753"/>
      <c r="DN101" s="753"/>
      <c r="DO101" s="753"/>
      <c r="DP101" s="753"/>
    </row>
    <row r="102" spans="14:120" x14ac:dyDescent="0.25">
      <c r="N102" s="753"/>
      <c r="U102" s="753"/>
      <c r="V102" s="753"/>
      <c r="W102" s="753"/>
      <c r="X102" s="753"/>
      <c r="Y102" s="753"/>
      <c r="Z102" s="753"/>
      <c r="AA102" s="753"/>
      <c r="AB102" s="753"/>
      <c r="AC102" s="753"/>
      <c r="AD102" s="753"/>
      <c r="AE102" s="753"/>
      <c r="AF102" s="753"/>
      <c r="AG102" s="753"/>
      <c r="AH102" s="753"/>
      <c r="AI102" s="753"/>
      <c r="AJ102" s="753"/>
      <c r="AK102" s="753"/>
      <c r="AL102" s="753"/>
      <c r="AM102" s="753"/>
      <c r="AN102" s="753"/>
      <c r="AO102" s="753"/>
      <c r="AP102" s="753"/>
      <c r="AQ102" s="753"/>
      <c r="AR102" s="753"/>
      <c r="AS102" s="753"/>
      <c r="AT102" s="753"/>
      <c r="AU102" s="753"/>
      <c r="AV102" s="753"/>
      <c r="AW102" s="753"/>
      <c r="AX102" s="753"/>
      <c r="AY102" s="753"/>
      <c r="AZ102" s="753"/>
      <c r="BA102" s="753"/>
      <c r="BB102" s="753"/>
      <c r="BC102" s="753"/>
      <c r="BD102" s="753"/>
      <c r="BE102" s="753"/>
      <c r="BF102" s="753"/>
      <c r="BG102" s="753"/>
      <c r="BH102" s="753"/>
      <c r="BI102" s="753"/>
      <c r="BJ102" s="753"/>
      <c r="BK102" s="753"/>
      <c r="BL102" s="753"/>
      <c r="BM102" s="753"/>
      <c r="BN102" s="753"/>
      <c r="BO102" s="753"/>
      <c r="BP102" s="753"/>
      <c r="BQ102" s="753"/>
      <c r="BR102" s="753"/>
      <c r="BS102" s="753"/>
      <c r="BT102" s="753"/>
      <c r="BU102" s="753"/>
      <c r="BV102" s="753"/>
      <c r="BW102" s="753"/>
      <c r="BX102" s="753"/>
      <c r="BY102" s="753"/>
      <c r="BZ102" s="753"/>
      <c r="CA102" s="753"/>
      <c r="CB102" s="753"/>
      <c r="CC102" s="753"/>
      <c r="CD102" s="753"/>
      <c r="CE102" s="753"/>
      <c r="CF102" s="753"/>
      <c r="CG102" s="753"/>
      <c r="CH102" s="753"/>
      <c r="CI102" s="753"/>
      <c r="CJ102" s="753"/>
      <c r="CK102" s="753"/>
      <c r="CL102" s="753"/>
      <c r="CM102" s="753"/>
      <c r="CN102" s="753"/>
      <c r="CO102" s="753"/>
      <c r="CP102" s="753"/>
      <c r="CQ102" s="753"/>
      <c r="CR102" s="753"/>
      <c r="CS102" s="753"/>
      <c r="CT102" s="753"/>
      <c r="CU102" s="753"/>
      <c r="CV102" s="753"/>
      <c r="CW102" s="753"/>
      <c r="CX102" s="753"/>
      <c r="CY102" s="753"/>
      <c r="CZ102" s="753"/>
      <c r="DA102" s="753"/>
      <c r="DB102" s="753"/>
      <c r="DC102" s="753"/>
      <c r="DD102" s="753"/>
      <c r="DE102" s="753"/>
      <c r="DF102" s="753"/>
      <c r="DG102" s="753"/>
      <c r="DH102" s="753"/>
      <c r="DI102" s="753"/>
      <c r="DJ102" s="753"/>
      <c r="DK102" s="753"/>
      <c r="DL102" s="753"/>
      <c r="DM102" s="753"/>
      <c r="DN102" s="753"/>
      <c r="DO102" s="753"/>
      <c r="DP102" s="753"/>
    </row>
    <row r="103" spans="14:120" x14ac:dyDescent="0.25">
      <c r="N103" s="753"/>
      <c r="U103" s="753"/>
      <c r="V103" s="753"/>
      <c r="W103" s="753"/>
      <c r="X103" s="753"/>
      <c r="Y103" s="753"/>
      <c r="Z103" s="753"/>
      <c r="AA103" s="753"/>
      <c r="AB103" s="753"/>
      <c r="AC103" s="753"/>
      <c r="AD103" s="753"/>
      <c r="AE103" s="753"/>
      <c r="AF103" s="753"/>
      <c r="AG103" s="753"/>
      <c r="AH103" s="753"/>
      <c r="AI103" s="753"/>
      <c r="AJ103" s="753"/>
      <c r="AK103" s="753"/>
      <c r="AL103" s="753"/>
      <c r="AM103" s="753"/>
      <c r="AN103" s="753"/>
      <c r="AO103" s="753"/>
      <c r="AP103" s="753"/>
      <c r="AQ103" s="753"/>
      <c r="AR103" s="753"/>
      <c r="AS103" s="753"/>
      <c r="AT103" s="753"/>
      <c r="AU103" s="753"/>
      <c r="AV103" s="753"/>
      <c r="AW103" s="753"/>
      <c r="AX103" s="753"/>
      <c r="AY103" s="753"/>
      <c r="AZ103" s="753"/>
      <c r="BA103" s="753"/>
      <c r="BB103" s="753"/>
      <c r="BC103" s="753"/>
      <c r="BD103" s="753"/>
      <c r="BE103" s="753"/>
      <c r="BF103" s="753"/>
      <c r="BG103" s="753"/>
      <c r="BH103" s="753"/>
      <c r="BI103" s="753"/>
      <c r="BJ103" s="753"/>
      <c r="BK103" s="753"/>
      <c r="BL103" s="753"/>
      <c r="BM103" s="753"/>
      <c r="BN103" s="753"/>
      <c r="BO103" s="753"/>
      <c r="BP103" s="753"/>
      <c r="BQ103" s="753"/>
      <c r="BR103" s="753"/>
      <c r="BS103" s="753"/>
      <c r="BT103" s="753"/>
      <c r="BU103" s="753"/>
      <c r="BV103" s="753"/>
      <c r="BW103" s="753"/>
      <c r="BX103" s="753"/>
      <c r="BY103" s="753"/>
      <c r="BZ103" s="753"/>
      <c r="CA103" s="753"/>
      <c r="CB103" s="753"/>
      <c r="CC103" s="753"/>
      <c r="CD103" s="753"/>
      <c r="CE103" s="753"/>
      <c r="CF103" s="753"/>
      <c r="CG103" s="753"/>
      <c r="CH103" s="753"/>
      <c r="CI103" s="753"/>
      <c r="CJ103" s="753"/>
      <c r="CK103" s="753"/>
      <c r="CL103" s="753"/>
      <c r="CM103" s="753"/>
      <c r="CN103" s="753"/>
      <c r="CO103" s="753"/>
      <c r="CP103" s="753"/>
      <c r="CQ103" s="753"/>
      <c r="CR103" s="753"/>
      <c r="CS103" s="753"/>
      <c r="CT103" s="753"/>
      <c r="CU103" s="753"/>
      <c r="CV103" s="753"/>
      <c r="CW103" s="753"/>
      <c r="CX103" s="753"/>
      <c r="CY103" s="753"/>
      <c r="CZ103" s="753"/>
      <c r="DA103" s="753"/>
      <c r="DB103" s="753"/>
      <c r="DC103" s="753"/>
      <c r="DD103" s="753"/>
      <c r="DE103" s="753"/>
      <c r="DF103" s="753"/>
      <c r="DG103" s="753"/>
      <c r="DH103" s="753"/>
      <c r="DI103" s="753"/>
      <c r="DJ103" s="753"/>
      <c r="DK103" s="753"/>
      <c r="DL103" s="753"/>
      <c r="DM103" s="753"/>
      <c r="DN103" s="753"/>
      <c r="DO103" s="753"/>
      <c r="DP103" s="753"/>
    </row>
    <row r="104" spans="14:120" x14ac:dyDescent="0.25">
      <c r="N104" s="753"/>
      <c r="U104" s="753"/>
      <c r="V104" s="753"/>
      <c r="W104" s="753"/>
      <c r="X104" s="753"/>
      <c r="Y104" s="753"/>
      <c r="Z104" s="753"/>
      <c r="AA104" s="753"/>
      <c r="AB104" s="753"/>
      <c r="AC104" s="753"/>
      <c r="AD104" s="753"/>
      <c r="AE104" s="753"/>
      <c r="AF104" s="753"/>
      <c r="AG104" s="753"/>
      <c r="AH104" s="753"/>
      <c r="AI104" s="753"/>
      <c r="AJ104" s="753"/>
      <c r="AK104" s="753"/>
      <c r="AL104" s="753"/>
      <c r="AM104" s="753"/>
      <c r="AN104" s="753"/>
      <c r="AO104" s="753"/>
      <c r="AP104" s="753"/>
      <c r="AQ104" s="753"/>
      <c r="AR104" s="753"/>
      <c r="AS104" s="753"/>
      <c r="AT104" s="753"/>
      <c r="AU104" s="753"/>
      <c r="AV104" s="753"/>
      <c r="AW104" s="753"/>
      <c r="AX104" s="753"/>
      <c r="AY104" s="753"/>
      <c r="AZ104" s="753"/>
      <c r="BA104" s="753"/>
      <c r="BB104" s="753"/>
      <c r="BC104" s="753"/>
      <c r="BD104" s="753"/>
      <c r="BE104" s="753"/>
      <c r="BF104" s="753"/>
      <c r="BG104" s="753"/>
      <c r="BH104" s="753"/>
      <c r="BI104" s="753"/>
      <c r="BJ104" s="753"/>
      <c r="BK104" s="753"/>
      <c r="BL104" s="753"/>
      <c r="BM104" s="753"/>
      <c r="BN104" s="753"/>
      <c r="BO104" s="753"/>
      <c r="BP104" s="753"/>
      <c r="BQ104" s="753"/>
      <c r="BR104" s="753"/>
      <c r="BS104" s="753"/>
      <c r="BT104" s="753"/>
      <c r="BU104" s="753"/>
      <c r="BV104" s="753"/>
      <c r="BW104" s="753"/>
      <c r="BX104" s="753"/>
      <c r="BY104" s="753"/>
      <c r="BZ104" s="753"/>
      <c r="CA104" s="753"/>
      <c r="CB104" s="753"/>
      <c r="CC104" s="753"/>
      <c r="CD104" s="753"/>
      <c r="CE104" s="753"/>
      <c r="CF104" s="753"/>
      <c r="CG104" s="753"/>
      <c r="CH104" s="753"/>
      <c r="CI104" s="753"/>
      <c r="CJ104" s="753"/>
      <c r="CK104" s="753"/>
      <c r="CL104" s="753"/>
      <c r="CM104" s="753"/>
      <c r="CN104" s="753"/>
      <c r="CO104" s="753"/>
      <c r="CP104" s="753"/>
      <c r="CQ104" s="753"/>
      <c r="CR104" s="753"/>
      <c r="CS104" s="753"/>
      <c r="CT104" s="753"/>
      <c r="CU104" s="753"/>
      <c r="CV104" s="753"/>
      <c r="CW104" s="753"/>
      <c r="CX104" s="753"/>
      <c r="CY104" s="753"/>
      <c r="CZ104" s="753"/>
      <c r="DA104" s="753"/>
      <c r="DB104" s="753"/>
      <c r="DC104" s="753"/>
      <c r="DD104" s="753"/>
      <c r="DE104" s="753"/>
      <c r="DF104" s="753"/>
      <c r="DG104" s="753"/>
      <c r="DH104" s="753"/>
      <c r="DI104" s="753"/>
      <c r="DJ104" s="753"/>
      <c r="DK104" s="753"/>
      <c r="DL104" s="753"/>
      <c r="DM104" s="753"/>
      <c r="DN104" s="753"/>
      <c r="DO104" s="753"/>
      <c r="DP104" s="753"/>
    </row>
    <row r="105" spans="14:120" x14ac:dyDescent="0.25">
      <c r="N105" s="753"/>
      <c r="U105" s="753"/>
      <c r="V105" s="753"/>
      <c r="W105" s="753"/>
      <c r="X105" s="753"/>
      <c r="Y105" s="753"/>
      <c r="Z105" s="753"/>
      <c r="AA105" s="753"/>
      <c r="AB105" s="753"/>
      <c r="AC105" s="753"/>
      <c r="AD105" s="753"/>
      <c r="AE105" s="753"/>
      <c r="AF105" s="753"/>
      <c r="AG105" s="753"/>
      <c r="AH105" s="753"/>
      <c r="AI105" s="753"/>
      <c r="AJ105" s="753"/>
      <c r="AK105" s="753"/>
      <c r="AL105" s="753"/>
      <c r="AM105" s="753"/>
      <c r="AN105" s="753"/>
      <c r="AO105" s="753"/>
      <c r="AP105" s="753"/>
      <c r="AQ105" s="753"/>
      <c r="AR105" s="753"/>
      <c r="AS105" s="753"/>
      <c r="AT105" s="753"/>
      <c r="AU105" s="753"/>
      <c r="AV105" s="753"/>
      <c r="AW105" s="753"/>
      <c r="AX105" s="753"/>
      <c r="AY105" s="753"/>
      <c r="AZ105" s="753"/>
      <c r="BA105" s="753"/>
      <c r="BB105" s="753"/>
      <c r="BC105" s="753"/>
      <c r="BD105" s="753"/>
      <c r="BE105" s="753"/>
      <c r="BF105" s="753"/>
      <c r="BG105" s="753"/>
      <c r="BH105" s="753"/>
      <c r="BI105" s="753"/>
      <c r="BJ105" s="753"/>
      <c r="BK105" s="753"/>
      <c r="BL105" s="753"/>
      <c r="BM105" s="753"/>
      <c r="BN105" s="753"/>
      <c r="BO105" s="753"/>
      <c r="BP105" s="753"/>
      <c r="BQ105" s="753"/>
      <c r="BR105" s="753"/>
      <c r="BS105" s="753"/>
      <c r="BT105" s="753"/>
      <c r="BU105" s="753"/>
      <c r="BV105" s="753"/>
      <c r="BW105" s="753"/>
      <c r="BX105" s="753"/>
      <c r="BY105" s="753"/>
      <c r="BZ105" s="753"/>
      <c r="CA105" s="753"/>
      <c r="CB105" s="753"/>
      <c r="CC105" s="753"/>
      <c r="CD105" s="753"/>
      <c r="CE105" s="753"/>
      <c r="CF105" s="753"/>
      <c r="CG105" s="753"/>
      <c r="CH105" s="753"/>
      <c r="CI105" s="753"/>
      <c r="CJ105" s="753"/>
      <c r="CK105" s="753"/>
      <c r="CL105" s="753"/>
      <c r="CM105" s="753"/>
      <c r="CN105" s="753"/>
      <c r="CO105" s="753"/>
      <c r="CP105" s="753"/>
      <c r="CQ105" s="753"/>
      <c r="CR105" s="753"/>
      <c r="CS105" s="753"/>
      <c r="CT105" s="753"/>
      <c r="CU105" s="753"/>
      <c r="CV105" s="753"/>
      <c r="CW105" s="753"/>
      <c r="CX105" s="753"/>
      <c r="CY105" s="753"/>
      <c r="CZ105" s="753"/>
      <c r="DA105" s="753"/>
      <c r="DB105" s="753"/>
      <c r="DC105" s="753"/>
      <c r="DD105" s="753"/>
      <c r="DE105" s="753"/>
      <c r="DF105" s="753"/>
      <c r="DG105" s="753"/>
      <c r="DH105" s="753"/>
      <c r="DI105" s="753"/>
      <c r="DJ105" s="753"/>
      <c r="DK105" s="753"/>
      <c r="DL105" s="753"/>
      <c r="DM105" s="753"/>
      <c r="DN105" s="753"/>
      <c r="DO105" s="753"/>
      <c r="DP105" s="753"/>
    </row>
    <row r="106" spans="14:120" x14ac:dyDescent="0.25">
      <c r="N106" s="753"/>
      <c r="U106" s="753"/>
      <c r="V106" s="753"/>
      <c r="W106" s="753"/>
      <c r="X106" s="753"/>
      <c r="Y106" s="753"/>
      <c r="Z106" s="753"/>
      <c r="AA106" s="753"/>
      <c r="AB106" s="753"/>
      <c r="AC106" s="753"/>
      <c r="AD106" s="753"/>
      <c r="AE106" s="753"/>
      <c r="AF106" s="753"/>
      <c r="AG106" s="753"/>
      <c r="AH106" s="753"/>
      <c r="AI106" s="753"/>
      <c r="AJ106" s="753"/>
      <c r="AK106" s="753"/>
      <c r="AL106" s="753"/>
      <c r="AM106" s="753"/>
      <c r="AN106" s="753"/>
      <c r="AO106" s="753"/>
      <c r="AP106" s="753"/>
      <c r="AQ106" s="753"/>
      <c r="AR106" s="753"/>
      <c r="AS106" s="753"/>
      <c r="AT106" s="753"/>
      <c r="AU106" s="753"/>
      <c r="AV106" s="753"/>
      <c r="AW106" s="753"/>
      <c r="AX106" s="753"/>
      <c r="AY106" s="753"/>
      <c r="AZ106" s="753"/>
      <c r="BA106" s="753"/>
      <c r="BB106" s="753"/>
      <c r="BC106" s="753"/>
      <c r="BD106" s="753"/>
      <c r="BE106" s="753"/>
      <c r="BF106" s="753"/>
      <c r="BG106" s="753"/>
      <c r="BH106" s="753"/>
      <c r="BI106" s="753"/>
      <c r="BJ106" s="753"/>
      <c r="BK106" s="753"/>
      <c r="BL106" s="753"/>
      <c r="BM106" s="753"/>
      <c r="BN106" s="753"/>
      <c r="BO106" s="753"/>
      <c r="BP106" s="753"/>
      <c r="BQ106" s="753"/>
      <c r="BR106" s="753"/>
      <c r="BS106" s="753"/>
      <c r="BT106" s="753"/>
      <c r="BU106" s="753"/>
      <c r="BV106" s="753"/>
      <c r="BW106" s="753"/>
      <c r="BX106" s="753"/>
      <c r="BY106" s="753"/>
      <c r="BZ106" s="753"/>
      <c r="CA106" s="753"/>
      <c r="CB106" s="753"/>
      <c r="CC106" s="753"/>
      <c r="CD106" s="753"/>
      <c r="CE106" s="753"/>
      <c r="CF106" s="753"/>
      <c r="CG106" s="753"/>
      <c r="CH106" s="753"/>
      <c r="CI106" s="753"/>
      <c r="CJ106" s="753"/>
      <c r="CK106" s="753"/>
      <c r="CL106" s="753"/>
      <c r="CM106" s="753"/>
      <c r="CN106" s="753"/>
      <c r="CO106" s="753"/>
      <c r="CP106" s="753"/>
      <c r="CQ106" s="753"/>
      <c r="CR106" s="753"/>
      <c r="CS106" s="753"/>
      <c r="CT106" s="753"/>
      <c r="CU106" s="753"/>
      <c r="CV106" s="753"/>
      <c r="CW106" s="753"/>
      <c r="CX106" s="753"/>
      <c r="CY106" s="753"/>
      <c r="CZ106" s="753"/>
      <c r="DA106" s="753"/>
      <c r="DB106" s="753"/>
      <c r="DC106" s="753"/>
      <c r="DD106" s="753"/>
      <c r="DE106" s="753"/>
      <c r="DF106" s="753"/>
      <c r="DG106" s="753"/>
      <c r="DH106" s="753"/>
      <c r="DI106" s="753"/>
      <c r="DJ106" s="753"/>
      <c r="DK106" s="753"/>
      <c r="DL106" s="753"/>
      <c r="DM106" s="753"/>
      <c r="DN106" s="753"/>
      <c r="DO106" s="753"/>
      <c r="DP106" s="753"/>
    </row>
    <row r="107" spans="14:120" x14ac:dyDescent="0.25">
      <c r="N107" s="753"/>
      <c r="U107" s="753"/>
      <c r="V107" s="753"/>
      <c r="W107" s="753"/>
      <c r="X107" s="753"/>
      <c r="Y107" s="753"/>
      <c r="Z107" s="753"/>
      <c r="AA107" s="753"/>
      <c r="AB107" s="753"/>
      <c r="AC107" s="753"/>
      <c r="AD107" s="753"/>
      <c r="AE107" s="753"/>
      <c r="AF107" s="753"/>
      <c r="AG107" s="753"/>
      <c r="AH107" s="753"/>
      <c r="AI107" s="753"/>
      <c r="AJ107" s="753"/>
      <c r="AK107" s="753"/>
      <c r="AL107" s="753"/>
      <c r="AM107" s="753"/>
      <c r="AN107" s="753"/>
      <c r="AO107" s="753"/>
      <c r="AP107" s="753"/>
      <c r="AQ107" s="753"/>
      <c r="AR107" s="753"/>
      <c r="AS107" s="753"/>
      <c r="AT107" s="753"/>
      <c r="AU107" s="753"/>
      <c r="AV107" s="753"/>
      <c r="AW107" s="753"/>
      <c r="AX107" s="753"/>
      <c r="AY107" s="753"/>
      <c r="AZ107" s="753"/>
      <c r="BA107" s="753"/>
      <c r="BB107" s="753"/>
      <c r="BC107" s="753"/>
      <c r="BD107" s="753"/>
      <c r="BE107" s="753"/>
      <c r="BF107" s="753"/>
      <c r="BG107" s="753"/>
      <c r="BH107" s="753"/>
      <c r="BI107" s="753"/>
      <c r="BJ107" s="753"/>
      <c r="BK107" s="753"/>
      <c r="BL107" s="753"/>
      <c r="BM107" s="753"/>
      <c r="BN107" s="753"/>
      <c r="BO107" s="753"/>
      <c r="BP107" s="753"/>
      <c r="BQ107" s="753"/>
      <c r="BR107" s="753"/>
      <c r="BS107" s="753"/>
      <c r="BT107" s="753"/>
      <c r="BU107" s="753"/>
      <c r="BV107" s="753"/>
      <c r="BW107" s="753"/>
      <c r="BX107" s="753"/>
      <c r="BY107" s="753"/>
      <c r="BZ107" s="753"/>
      <c r="CA107" s="753"/>
      <c r="CB107" s="753"/>
      <c r="CC107" s="753"/>
      <c r="CD107" s="753"/>
      <c r="CE107" s="753"/>
      <c r="CF107" s="753"/>
      <c r="CG107" s="753"/>
      <c r="CH107" s="753"/>
      <c r="CI107" s="753"/>
      <c r="CJ107" s="753"/>
      <c r="CK107" s="753"/>
      <c r="CL107" s="753"/>
      <c r="CM107" s="753"/>
      <c r="CN107" s="753"/>
      <c r="CO107" s="753"/>
      <c r="CP107" s="753"/>
      <c r="CQ107" s="753"/>
      <c r="CR107" s="753"/>
      <c r="CS107" s="753"/>
      <c r="CT107" s="753"/>
      <c r="CU107" s="753"/>
      <c r="CV107" s="753"/>
      <c r="CW107" s="753"/>
      <c r="CX107" s="753"/>
      <c r="CY107" s="753"/>
      <c r="CZ107" s="753"/>
      <c r="DA107" s="753"/>
      <c r="DB107" s="753"/>
      <c r="DC107" s="753"/>
      <c r="DD107" s="753"/>
      <c r="DE107" s="753"/>
      <c r="DF107" s="753"/>
      <c r="DG107" s="753"/>
      <c r="DH107" s="753"/>
      <c r="DI107" s="753"/>
      <c r="DJ107" s="753"/>
      <c r="DK107" s="753"/>
      <c r="DL107" s="753"/>
      <c r="DM107" s="753"/>
      <c r="DN107" s="753"/>
      <c r="DO107" s="753"/>
      <c r="DP107" s="753"/>
    </row>
    <row r="108" spans="14:120" x14ac:dyDescent="0.25">
      <c r="N108" s="753"/>
      <c r="U108" s="753"/>
      <c r="V108" s="753"/>
      <c r="W108" s="753"/>
      <c r="X108" s="753"/>
      <c r="Y108" s="753"/>
      <c r="Z108" s="753"/>
      <c r="AA108" s="753"/>
      <c r="AB108" s="753"/>
      <c r="AC108" s="753"/>
      <c r="AD108" s="753"/>
      <c r="AE108" s="753"/>
      <c r="AF108" s="753"/>
      <c r="AG108" s="753"/>
      <c r="AH108" s="753"/>
      <c r="AI108" s="753"/>
      <c r="AJ108" s="753"/>
      <c r="AK108" s="753"/>
      <c r="AL108" s="753"/>
      <c r="AM108" s="753"/>
      <c r="AN108" s="753"/>
      <c r="AO108" s="753"/>
      <c r="AP108" s="753"/>
      <c r="AQ108" s="753"/>
      <c r="AR108" s="753"/>
      <c r="AS108" s="753"/>
      <c r="AT108" s="753"/>
      <c r="AU108" s="753"/>
      <c r="AV108" s="753"/>
      <c r="AW108" s="753"/>
      <c r="AX108" s="753"/>
      <c r="AY108" s="753"/>
      <c r="AZ108" s="753"/>
      <c r="BA108" s="753"/>
      <c r="BB108" s="753"/>
      <c r="BC108" s="753"/>
      <c r="BD108" s="753"/>
      <c r="BE108" s="753"/>
      <c r="BF108" s="753"/>
      <c r="BG108" s="753"/>
      <c r="BH108" s="753"/>
      <c r="BI108" s="753"/>
      <c r="BJ108" s="753"/>
      <c r="BK108" s="753"/>
      <c r="BL108" s="753"/>
      <c r="BM108" s="753"/>
      <c r="BN108" s="753"/>
      <c r="BO108" s="753"/>
      <c r="BP108" s="753"/>
      <c r="BQ108" s="753"/>
      <c r="BR108" s="753"/>
      <c r="BS108" s="753"/>
      <c r="BT108" s="753"/>
      <c r="BU108" s="753"/>
      <c r="BV108" s="753"/>
      <c r="BW108" s="753"/>
      <c r="BX108" s="753"/>
      <c r="BY108" s="753"/>
      <c r="BZ108" s="753"/>
      <c r="CA108" s="753"/>
      <c r="CB108" s="753"/>
      <c r="CC108" s="753"/>
      <c r="CD108" s="753"/>
      <c r="CE108" s="753"/>
      <c r="CF108" s="753"/>
      <c r="CG108" s="753"/>
      <c r="CH108" s="753"/>
      <c r="CI108" s="753"/>
      <c r="CJ108" s="753"/>
      <c r="CK108" s="753"/>
      <c r="CL108" s="753"/>
      <c r="CM108" s="753"/>
      <c r="CN108" s="753"/>
      <c r="CO108" s="753"/>
      <c r="CP108" s="753"/>
      <c r="CQ108" s="753"/>
      <c r="CR108" s="753"/>
      <c r="CS108" s="753"/>
      <c r="CT108" s="753"/>
      <c r="CU108" s="753"/>
      <c r="CV108" s="753"/>
      <c r="CW108" s="753"/>
      <c r="CX108" s="753"/>
      <c r="CY108" s="753"/>
      <c r="CZ108" s="753"/>
      <c r="DA108" s="753"/>
      <c r="DB108" s="753"/>
      <c r="DC108" s="753"/>
      <c r="DD108" s="753"/>
      <c r="DE108" s="753"/>
      <c r="DF108" s="753"/>
      <c r="DG108" s="753"/>
      <c r="DH108" s="753"/>
      <c r="DI108" s="753"/>
      <c r="DJ108" s="753"/>
      <c r="DK108" s="753"/>
      <c r="DL108" s="753"/>
      <c r="DM108" s="753"/>
      <c r="DN108" s="753"/>
      <c r="DO108" s="753"/>
      <c r="DP108" s="753"/>
    </row>
    <row r="109" spans="14:120" x14ac:dyDescent="0.25">
      <c r="N109" s="753"/>
      <c r="U109" s="753"/>
      <c r="V109" s="753"/>
      <c r="W109" s="753"/>
      <c r="X109" s="753"/>
      <c r="Y109" s="753"/>
      <c r="Z109" s="753"/>
      <c r="AA109" s="753"/>
      <c r="AB109" s="753"/>
      <c r="AC109" s="753"/>
      <c r="AD109" s="753"/>
      <c r="AE109" s="753"/>
      <c r="AF109" s="753"/>
      <c r="AG109" s="753"/>
      <c r="AH109" s="753"/>
      <c r="AI109" s="753"/>
      <c r="AJ109" s="753"/>
      <c r="AK109" s="753"/>
      <c r="AL109" s="753"/>
      <c r="AM109" s="753"/>
      <c r="AN109" s="753"/>
      <c r="AO109" s="753"/>
      <c r="AP109" s="753"/>
      <c r="AQ109" s="753"/>
      <c r="AR109" s="753"/>
      <c r="AS109" s="753"/>
      <c r="AT109" s="753"/>
      <c r="AU109" s="753"/>
      <c r="AV109" s="753"/>
      <c r="AW109" s="753"/>
      <c r="AX109" s="753"/>
      <c r="AY109" s="753"/>
      <c r="AZ109" s="753"/>
      <c r="BA109" s="753"/>
      <c r="BB109" s="753"/>
      <c r="BC109" s="753"/>
      <c r="BD109" s="753"/>
      <c r="BE109" s="753"/>
      <c r="BF109" s="753"/>
      <c r="BG109" s="753"/>
      <c r="BH109" s="753"/>
      <c r="BI109" s="753"/>
      <c r="BJ109" s="753"/>
      <c r="BK109" s="753"/>
      <c r="BL109" s="753"/>
      <c r="BM109" s="753"/>
      <c r="BN109" s="753"/>
      <c r="BO109" s="753"/>
      <c r="BP109" s="753"/>
      <c r="BQ109" s="753"/>
      <c r="BR109" s="753"/>
      <c r="BS109" s="753"/>
      <c r="BT109" s="753"/>
      <c r="BU109" s="753"/>
      <c r="BV109" s="753"/>
      <c r="BW109" s="753"/>
      <c r="BX109" s="753"/>
      <c r="BY109" s="753"/>
      <c r="BZ109" s="753"/>
      <c r="CA109" s="753"/>
      <c r="CB109" s="753"/>
      <c r="CC109" s="753"/>
      <c r="CD109" s="753"/>
      <c r="CE109" s="753"/>
      <c r="CF109" s="753"/>
      <c r="CG109" s="753"/>
      <c r="CH109" s="753"/>
      <c r="CI109" s="753"/>
      <c r="CJ109" s="753"/>
      <c r="CK109" s="753"/>
      <c r="CL109" s="753"/>
      <c r="CM109" s="753"/>
      <c r="CN109" s="753"/>
      <c r="CO109" s="753"/>
      <c r="CP109" s="753"/>
      <c r="CQ109" s="753"/>
      <c r="CR109" s="753"/>
      <c r="CS109" s="753"/>
      <c r="CT109" s="753"/>
      <c r="CU109" s="753"/>
      <c r="CV109" s="753"/>
      <c r="CW109" s="753"/>
      <c r="CX109" s="753"/>
      <c r="CY109" s="753"/>
      <c r="CZ109" s="753"/>
      <c r="DA109" s="753"/>
      <c r="DB109" s="753"/>
      <c r="DC109" s="753"/>
      <c r="DD109" s="753"/>
      <c r="DE109" s="753"/>
      <c r="DF109" s="753"/>
      <c r="DG109" s="753"/>
      <c r="DH109" s="753"/>
      <c r="DI109" s="753"/>
      <c r="DJ109" s="753"/>
      <c r="DK109" s="753"/>
      <c r="DL109" s="753"/>
      <c r="DM109" s="753"/>
      <c r="DN109" s="753"/>
      <c r="DO109" s="753"/>
      <c r="DP109" s="753"/>
    </row>
    <row r="110" spans="14:120" x14ac:dyDescent="0.25">
      <c r="N110" s="753"/>
      <c r="U110" s="753"/>
      <c r="V110" s="753"/>
      <c r="W110" s="753"/>
      <c r="X110" s="753"/>
      <c r="Y110" s="753"/>
      <c r="Z110" s="753"/>
      <c r="AA110" s="753"/>
      <c r="AB110" s="753"/>
      <c r="AC110" s="753"/>
      <c r="AD110" s="753"/>
      <c r="AE110" s="753"/>
      <c r="AF110" s="753"/>
      <c r="AG110" s="753"/>
      <c r="AH110" s="753"/>
      <c r="AI110" s="753"/>
      <c r="AJ110" s="753"/>
      <c r="AK110" s="753"/>
      <c r="AL110" s="753"/>
      <c r="AM110" s="753"/>
      <c r="AN110" s="753"/>
      <c r="AO110" s="753"/>
      <c r="AP110" s="753"/>
      <c r="AQ110" s="753"/>
      <c r="AR110" s="753"/>
      <c r="AS110" s="753"/>
      <c r="AT110" s="753"/>
      <c r="AU110" s="753"/>
      <c r="AV110" s="753"/>
      <c r="AW110" s="753"/>
      <c r="AX110" s="753"/>
      <c r="AY110" s="753"/>
      <c r="AZ110" s="753"/>
      <c r="BA110" s="753"/>
      <c r="BB110" s="753"/>
      <c r="BC110" s="753"/>
      <c r="BD110" s="753"/>
      <c r="BE110" s="753"/>
      <c r="BF110" s="753"/>
      <c r="BG110" s="753"/>
      <c r="BH110" s="753"/>
      <c r="BI110" s="753"/>
      <c r="BJ110" s="753"/>
      <c r="BK110" s="753"/>
      <c r="BL110" s="753"/>
      <c r="BM110" s="753"/>
      <c r="BN110" s="753"/>
      <c r="BO110" s="753"/>
      <c r="BP110" s="753"/>
      <c r="BQ110" s="753"/>
      <c r="BR110" s="753"/>
      <c r="BS110" s="753"/>
      <c r="BT110" s="753"/>
      <c r="BU110" s="753"/>
      <c r="BV110" s="753"/>
      <c r="BW110" s="753"/>
      <c r="BX110" s="753"/>
      <c r="BY110" s="753"/>
      <c r="BZ110" s="753"/>
      <c r="CA110" s="753"/>
      <c r="CB110" s="753"/>
      <c r="CC110" s="753"/>
      <c r="CD110" s="753"/>
      <c r="CE110" s="753"/>
      <c r="CF110" s="753"/>
      <c r="CG110" s="753"/>
      <c r="CH110" s="753"/>
      <c r="CI110" s="753"/>
      <c r="CJ110" s="753"/>
      <c r="CK110" s="753"/>
      <c r="CL110" s="753"/>
      <c r="CM110" s="753"/>
      <c r="CN110" s="753"/>
      <c r="CO110" s="753"/>
      <c r="CP110" s="753"/>
      <c r="CQ110" s="753"/>
      <c r="CR110" s="753"/>
      <c r="CS110" s="753"/>
      <c r="CT110" s="753"/>
      <c r="CU110" s="753"/>
      <c r="CV110" s="753"/>
      <c r="CW110" s="753"/>
      <c r="CX110" s="753"/>
      <c r="CY110" s="753"/>
      <c r="CZ110" s="753"/>
      <c r="DA110" s="753"/>
      <c r="DB110" s="753"/>
      <c r="DC110" s="753"/>
      <c r="DD110" s="753"/>
      <c r="DE110" s="753"/>
      <c r="DF110" s="753"/>
      <c r="DG110" s="753"/>
      <c r="DH110" s="753"/>
      <c r="DI110" s="753"/>
      <c r="DJ110" s="753"/>
      <c r="DK110" s="753"/>
      <c r="DL110" s="753"/>
      <c r="DM110" s="753"/>
      <c r="DN110" s="753"/>
      <c r="DO110" s="753"/>
      <c r="DP110" s="753"/>
    </row>
    <row r="111" spans="14:120" x14ac:dyDescent="0.25">
      <c r="N111" s="753"/>
      <c r="U111" s="753"/>
      <c r="V111" s="753"/>
      <c r="W111" s="753"/>
      <c r="X111" s="753"/>
      <c r="Y111" s="753"/>
      <c r="Z111" s="753"/>
      <c r="AA111" s="753"/>
      <c r="AB111" s="753"/>
      <c r="AC111" s="753"/>
      <c r="AD111" s="753"/>
      <c r="AE111" s="753"/>
      <c r="AF111" s="753"/>
      <c r="AG111" s="753"/>
      <c r="AH111" s="753"/>
      <c r="AI111" s="753"/>
      <c r="AJ111" s="753"/>
      <c r="AK111" s="753"/>
      <c r="AL111" s="753"/>
      <c r="AM111" s="753"/>
      <c r="AN111" s="753"/>
      <c r="AO111" s="753"/>
      <c r="AP111" s="753"/>
      <c r="AQ111" s="753"/>
      <c r="AR111" s="753"/>
      <c r="AS111" s="753"/>
      <c r="AT111" s="753"/>
      <c r="AU111" s="753"/>
      <c r="AV111" s="753"/>
      <c r="AW111" s="753"/>
      <c r="AX111" s="753"/>
      <c r="AY111" s="753"/>
      <c r="AZ111" s="753"/>
      <c r="BA111" s="753"/>
      <c r="BB111" s="753"/>
      <c r="BC111" s="753"/>
      <c r="BD111" s="753"/>
      <c r="BE111" s="753"/>
      <c r="BF111" s="753"/>
      <c r="BG111" s="753"/>
      <c r="BH111" s="753"/>
      <c r="BI111" s="753"/>
      <c r="BJ111" s="753"/>
      <c r="BK111" s="753"/>
      <c r="BL111" s="753"/>
      <c r="BM111" s="753"/>
      <c r="BN111" s="753"/>
      <c r="BO111" s="753"/>
      <c r="BP111" s="753"/>
      <c r="BQ111" s="753"/>
      <c r="BR111" s="753"/>
      <c r="BS111" s="753"/>
      <c r="BT111" s="753"/>
      <c r="BU111" s="753"/>
      <c r="BV111" s="753"/>
      <c r="BW111" s="753"/>
      <c r="BX111" s="753"/>
      <c r="BY111" s="753"/>
      <c r="BZ111" s="753"/>
      <c r="CA111" s="753"/>
      <c r="CB111" s="753"/>
      <c r="CC111" s="753"/>
      <c r="CD111" s="753"/>
      <c r="CE111" s="753"/>
      <c r="CF111" s="753"/>
      <c r="CG111" s="753"/>
      <c r="CH111" s="753"/>
      <c r="CI111" s="753"/>
      <c r="CJ111" s="753"/>
      <c r="CK111" s="753"/>
      <c r="CL111" s="753"/>
      <c r="CM111" s="753"/>
      <c r="CN111" s="753"/>
      <c r="CO111" s="753"/>
      <c r="CP111" s="753"/>
      <c r="CQ111" s="753"/>
      <c r="CR111" s="753"/>
      <c r="CS111" s="753"/>
      <c r="CT111" s="753"/>
      <c r="CU111" s="753"/>
      <c r="CV111" s="753"/>
      <c r="CW111" s="753"/>
      <c r="CX111" s="753"/>
      <c r="CY111" s="753"/>
      <c r="CZ111" s="753"/>
      <c r="DA111" s="753"/>
      <c r="DB111" s="753"/>
      <c r="DC111" s="753"/>
      <c r="DD111" s="753"/>
      <c r="DE111" s="753"/>
      <c r="DF111" s="753"/>
      <c r="DG111" s="753"/>
      <c r="DH111" s="753"/>
      <c r="DI111" s="753"/>
      <c r="DJ111" s="753"/>
      <c r="DK111" s="753"/>
      <c r="DL111" s="753"/>
      <c r="DM111" s="753"/>
      <c r="DN111" s="753"/>
      <c r="DO111" s="753"/>
      <c r="DP111" s="753"/>
    </row>
    <row r="112" spans="14:120" x14ac:dyDescent="0.25">
      <c r="N112" s="753"/>
      <c r="U112" s="753"/>
      <c r="V112" s="753"/>
      <c r="W112" s="753"/>
      <c r="X112" s="753"/>
      <c r="Y112" s="753"/>
      <c r="Z112" s="753"/>
      <c r="AA112" s="753"/>
      <c r="AB112" s="753"/>
      <c r="AC112" s="753"/>
      <c r="AD112" s="753"/>
      <c r="AE112" s="753"/>
      <c r="AF112" s="753"/>
      <c r="AG112" s="753"/>
      <c r="AH112" s="753"/>
      <c r="AI112" s="753"/>
      <c r="AJ112" s="753"/>
      <c r="AK112" s="753"/>
      <c r="AL112" s="753"/>
      <c r="AM112" s="753"/>
      <c r="AN112" s="753"/>
      <c r="AO112" s="753"/>
      <c r="AP112" s="753"/>
      <c r="AQ112" s="753"/>
      <c r="AR112" s="753"/>
      <c r="AS112" s="753"/>
      <c r="AT112" s="753"/>
      <c r="AU112" s="753"/>
      <c r="AV112" s="753"/>
      <c r="AW112" s="753"/>
      <c r="AX112" s="753"/>
      <c r="AY112" s="753"/>
      <c r="AZ112" s="753"/>
      <c r="BA112" s="753"/>
      <c r="BB112" s="753"/>
      <c r="BC112" s="753"/>
      <c r="BD112" s="753"/>
      <c r="BE112" s="753"/>
      <c r="BF112" s="753"/>
      <c r="BG112" s="753"/>
      <c r="BH112" s="753"/>
      <c r="BI112" s="753"/>
      <c r="BJ112" s="753"/>
      <c r="BK112" s="753"/>
      <c r="BL112" s="753"/>
      <c r="BM112" s="753"/>
      <c r="BN112" s="753"/>
      <c r="BO112" s="753"/>
      <c r="BP112" s="753"/>
      <c r="BQ112" s="753"/>
      <c r="BR112" s="753"/>
      <c r="BS112" s="753"/>
      <c r="BT112" s="753"/>
      <c r="BU112" s="753"/>
      <c r="BV112" s="753"/>
      <c r="BW112" s="753"/>
      <c r="BX112" s="753"/>
      <c r="BY112" s="753"/>
      <c r="BZ112" s="753"/>
      <c r="CA112" s="753"/>
      <c r="CB112" s="753"/>
      <c r="CC112" s="753"/>
      <c r="CD112" s="753"/>
      <c r="CE112" s="753"/>
      <c r="CF112" s="753"/>
      <c r="CG112" s="753"/>
      <c r="CH112" s="753"/>
      <c r="CI112" s="753"/>
      <c r="CJ112" s="753"/>
      <c r="CK112" s="753"/>
      <c r="CL112" s="753"/>
      <c r="CM112" s="753"/>
      <c r="CN112" s="753"/>
      <c r="CO112" s="753"/>
      <c r="CP112" s="753"/>
      <c r="CQ112" s="753"/>
      <c r="CR112" s="753"/>
      <c r="CS112" s="753"/>
      <c r="CT112" s="753"/>
      <c r="CU112" s="753"/>
      <c r="CV112" s="753"/>
      <c r="CW112" s="753"/>
      <c r="CX112" s="753"/>
      <c r="CY112" s="753"/>
      <c r="CZ112" s="753"/>
      <c r="DA112" s="753"/>
      <c r="DB112" s="753"/>
      <c r="DC112" s="753"/>
      <c r="DD112" s="753"/>
      <c r="DE112" s="753"/>
      <c r="DF112" s="753"/>
      <c r="DG112" s="753"/>
      <c r="DH112" s="753"/>
      <c r="DI112" s="753"/>
      <c r="DJ112" s="753"/>
      <c r="DK112" s="753"/>
      <c r="DL112" s="753"/>
      <c r="DM112" s="753"/>
      <c r="DN112" s="753"/>
      <c r="DO112" s="753"/>
      <c r="DP112" s="753"/>
    </row>
    <row r="113" spans="14:120" x14ac:dyDescent="0.25">
      <c r="N113" s="753"/>
      <c r="U113" s="753"/>
      <c r="V113" s="753"/>
      <c r="W113" s="753"/>
      <c r="X113" s="753"/>
      <c r="Y113" s="753"/>
      <c r="Z113" s="753"/>
      <c r="AA113" s="753"/>
      <c r="AB113" s="753"/>
      <c r="AC113" s="753"/>
      <c r="AD113" s="753"/>
      <c r="AE113" s="753"/>
      <c r="AF113" s="753"/>
      <c r="AG113" s="753"/>
      <c r="AH113" s="753"/>
      <c r="AI113" s="753"/>
      <c r="AJ113" s="753"/>
      <c r="AK113" s="753"/>
      <c r="AL113" s="753"/>
      <c r="AM113" s="753"/>
      <c r="AN113" s="753"/>
      <c r="AO113" s="753"/>
      <c r="AP113" s="753"/>
      <c r="AQ113" s="753"/>
      <c r="AR113" s="753"/>
      <c r="AS113" s="753"/>
      <c r="AT113" s="753"/>
      <c r="AU113" s="753"/>
      <c r="AV113" s="753"/>
      <c r="AW113" s="753"/>
      <c r="AX113" s="753"/>
      <c r="AY113" s="753"/>
      <c r="AZ113" s="753"/>
      <c r="BA113" s="753"/>
      <c r="BB113" s="753"/>
      <c r="BC113" s="753"/>
      <c r="BD113" s="753"/>
      <c r="BE113" s="753"/>
      <c r="BF113" s="753"/>
      <c r="BG113" s="753"/>
      <c r="BH113" s="753"/>
      <c r="BI113" s="753"/>
      <c r="BJ113" s="753"/>
      <c r="BK113" s="753"/>
      <c r="BL113" s="753"/>
      <c r="BM113" s="753"/>
      <c r="BN113" s="753"/>
      <c r="BO113" s="753"/>
      <c r="BP113" s="753"/>
      <c r="BQ113" s="753"/>
      <c r="BR113" s="753"/>
      <c r="BS113" s="753"/>
      <c r="BT113" s="753"/>
      <c r="BU113" s="753"/>
      <c r="BV113" s="753"/>
      <c r="BW113" s="753"/>
      <c r="BX113" s="753"/>
      <c r="BY113" s="753"/>
      <c r="BZ113" s="753"/>
      <c r="CA113" s="753"/>
      <c r="CB113" s="753"/>
      <c r="CC113" s="753"/>
      <c r="CD113" s="753"/>
      <c r="CE113" s="753"/>
      <c r="CF113" s="753"/>
      <c r="CG113" s="753"/>
      <c r="CH113" s="753"/>
      <c r="CI113" s="753"/>
      <c r="CJ113" s="753"/>
      <c r="CK113" s="753"/>
      <c r="CL113" s="753"/>
      <c r="CM113" s="753"/>
      <c r="CN113" s="753"/>
      <c r="CO113" s="753"/>
      <c r="CP113" s="753"/>
      <c r="CQ113" s="753"/>
      <c r="CR113" s="753"/>
      <c r="CS113" s="753"/>
      <c r="CT113" s="753"/>
      <c r="CU113" s="753"/>
      <c r="CV113" s="753"/>
      <c r="CW113" s="753"/>
      <c r="CX113" s="753"/>
      <c r="CY113" s="753"/>
      <c r="CZ113" s="753"/>
      <c r="DA113" s="753"/>
      <c r="DB113" s="753"/>
      <c r="DC113" s="753"/>
      <c r="DD113" s="753"/>
      <c r="DE113" s="753"/>
      <c r="DF113" s="753"/>
      <c r="DG113" s="753"/>
      <c r="DH113" s="753"/>
      <c r="DI113" s="753"/>
      <c r="DJ113" s="753"/>
      <c r="DK113" s="753"/>
      <c r="DL113" s="753"/>
      <c r="DM113" s="753"/>
      <c r="DN113" s="753"/>
      <c r="DO113" s="753"/>
      <c r="DP113" s="753"/>
    </row>
    <row r="114" spans="14:120" x14ac:dyDescent="0.25">
      <c r="N114" s="753"/>
      <c r="U114" s="753"/>
      <c r="V114" s="753"/>
      <c r="W114" s="753"/>
      <c r="X114" s="753"/>
      <c r="Y114" s="753"/>
      <c r="Z114" s="753"/>
      <c r="AA114" s="753"/>
      <c r="AB114" s="753"/>
      <c r="AC114" s="753"/>
      <c r="AD114" s="753"/>
      <c r="AE114" s="753"/>
      <c r="AF114" s="753"/>
      <c r="AG114" s="753"/>
      <c r="AH114" s="753"/>
      <c r="AI114" s="753"/>
      <c r="AJ114" s="753"/>
      <c r="AK114" s="753"/>
      <c r="AL114" s="753"/>
      <c r="AM114" s="753"/>
      <c r="AN114" s="753"/>
      <c r="AO114" s="753"/>
      <c r="AP114" s="753"/>
      <c r="AQ114" s="753"/>
      <c r="AR114" s="753"/>
      <c r="AS114" s="753"/>
      <c r="AT114" s="753"/>
      <c r="AU114" s="753"/>
      <c r="AV114" s="753"/>
      <c r="AW114" s="753"/>
      <c r="AX114" s="753"/>
      <c r="AY114" s="753"/>
      <c r="AZ114" s="753"/>
      <c r="BA114" s="753"/>
      <c r="BB114" s="753"/>
      <c r="BC114" s="753"/>
      <c r="BD114" s="753"/>
      <c r="BE114" s="753"/>
      <c r="BF114" s="753"/>
      <c r="BG114" s="753"/>
      <c r="BH114" s="753"/>
      <c r="BI114" s="753"/>
      <c r="BJ114" s="753"/>
      <c r="BK114" s="753"/>
      <c r="BL114" s="753"/>
      <c r="BM114" s="753"/>
      <c r="BN114" s="753"/>
      <c r="BO114" s="753"/>
      <c r="BP114" s="753"/>
      <c r="BQ114" s="753"/>
      <c r="BR114" s="753"/>
      <c r="BS114" s="753"/>
      <c r="BT114" s="753"/>
      <c r="BU114" s="753"/>
      <c r="BV114" s="753"/>
      <c r="BW114" s="753"/>
      <c r="BX114" s="753"/>
      <c r="BY114" s="753"/>
      <c r="BZ114" s="753"/>
      <c r="CA114" s="753"/>
      <c r="CB114" s="753"/>
      <c r="CC114" s="753"/>
      <c r="CD114" s="753"/>
      <c r="CE114" s="753"/>
      <c r="CF114" s="753"/>
      <c r="CG114" s="753"/>
      <c r="CH114" s="753"/>
      <c r="CI114" s="753"/>
      <c r="CJ114" s="753"/>
      <c r="CK114" s="753"/>
      <c r="CL114" s="753"/>
      <c r="CM114" s="753"/>
      <c r="CN114" s="753"/>
      <c r="CO114" s="753"/>
      <c r="CP114" s="753"/>
      <c r="CQ114" s="753"/>
      <c r="CR114" s="753"/>
      <c r="CS114" s="753"/>
      <c r="CT114" s="753"/>
      <c r="CU114" s="753"/>
      <c r="CV114" s="753"/>
      <c r="CW114" s="753"/>
      <c r="CX114" s="753"/>
      <c r="CY114" s="753"/>
      <c r="CZ114" s="753"/>
      <c r="DA114" s="753"/>
      <c r="DB114" s="753"/>
      <c r="DC114" s="753"/>
      <c r="DD114" s="753"/>
      <c r="DE114" s="753"/>
      <c r="DF114" s="753"/>
      <c r="DG114" s="753"/>
      <c r="DH114" s="753"/>
      <c r="DI114" s="753"/>
      <c r="DJ114" s="753"/>
      <c r="DK114" s="753"/>
      <c r="DL114" s="753"/>
      <c r="DM114" s="753"/>
      <c r="DN114" s="753"/>
      <c r="DO114" s="753"/>
      <c r="DP114" s="753"/>
    </row>
    <row r="115" spans="14:120" x14ac:dyDescent="0.25">
      <c r="N115" s="753"/>
      <c r="U115" s="753"/>
      <c r="V115" s="753"/>
      <c r="W115" s="753"/>
      <c r="X115" s="753"/>
      <c r="Y115" s="753"/>
      <c r="Z115" s="753"/>
      <c r="AA115" s="753"/>
      <c r="AB115" s="753"/>
      <c r="AC115" s="753"/>
      <c r="AD115" s="753"/>
      <c r="AE115" s="753"/>
      <c r="AF115" s="753"/>
      <c r="AG115" s="753"/>
      <c r="AH115" s="753"/>
      <c r="AI115" s="753"/>
      <c r="AJ115" s="753"/>
      <c r="AK115" s="753"/>
      <c r="AL115" s="753"/>
      <c r="AM115" s="753"/>
      <c r="AN115" s="753"/>
      <c r="AO115" s="753"/>
      <c r="AP115" s="753"/>
      <c r="AQ115" s="753"/>
      <c r="AR115" s="753"/>
      <c r="AS115" s="753"/>
      <c r="AT115" s="753"/>
      <c r="AU115" s="753"/>
      <c r="AV115" s="753"/>
      <c r="AW115" s="753"/>
      <c r="AX115" s="753"/>
      <c r="AY115" s="753"/>
      <c r="AZ115" s="753"/>
      <c r="BA115" s="753"/>
      <c r="BB115" s="753"/>
      <c r="BC115" s="753"/>
      <c r="BD115" s="753"/>
      <c r="BE115" s="753"/>
      <c r="BF115" s="753"/>
      <c r="BG115" s="753"/>
      <c r="BH115" s="753"/>
      <c r="BI115" s="753"/>
      <c r="BJ115" s="753"/>
      <c r="BK115" s="753"/>
      <c r="BL115" s="753"/>
      <c r="BM115" s="753"/>
      <c r="BN115" s="753"/>
      <c r="BO115" s="753"/>
      <c r="BP115" s="753"/>
      <c r="BQ115" s="753"/>
      <c r="BR115" s="753"/>
      <c r="BS115" s="753"/>
      <c r="BT115" s="753"/>
      <c r="BU115" s="753"/>
      <c r="BV115" s="753"/>
      <c r="BW115" s="753"/>
      <c r="BX115" s="753"/>
      <c r="BY115" s="753"/>
      <c r="BZ115" s="753"/>
      <c r="CA115" s="753"/>
      <c r="CB115" s="753"/>
      <c r="CC115" s="753"/>
      <c r="CD115" s="753"/>
      <c r="CE115" s="753"/>
      <c r="CF115" s="753"/>
      <c r="CG115" s="753"/>
      <c r="CH115" s="753"/>
      <c r="CI115" s="753"/>
      <c r="CJ115" s="753"/>
      <c r="CK115" s="753"/>
      <c r="CL115" s="753"/>
      <c r="CM115" s="753"/>
      <c r="CN115" s="753"/>
      <c r="CO115" s="753"/>
      <c r="CP115" s="753"/>
      <c r="CQ115" s="753"/>
      <c r="CR115" s="753"/>
      <c r="CS115" s="753"/>
      <c r="CT115" s="753"/>
      <c r="CU115" s="753"/>
      <c r="CV115" s="753"/>
      <c r="CW115" s="753"/>
      <c r="CX115" s="753"/>
      <c r="CY115" s="753"/>
      <c r="CZ115" s="753"/>
      <c r="DA115" s="753"/>
      <c r="DB115" s="753"/>
      <c r="DC115" s="753"/>
      <c r="DD115" s="753"/>
      <c r="DE115" s="753"/>
      <c r="DF115" s="753"/>
      <c r="DG115" s="753"/>
      <c r="DH115" s="753"/>
      <c r="DI115" s="753"/>
      <c r="DJ115" s="753"/>
      <c r="DK115" s="753"/>
      <c r="DL115" s="753"/>
      <c r="DM115" s="753"/>
      <c r="DN115" s="753"/>
      <c r="DO115" s="753"/>
      <c r="DP115" s="753"/>
    </row>
    <row r="116" spans="14:120" x14ac:dyDescent="0.25">
      <c r="N116" s="753"/>
      <c r="U116" s="753"/>
      <c r="V116" s="753"/>
      <c r="W116" s="753"/>
      <c r="X116" s="753"/>
      <c r="Y116" s="753"/>
      <c r="Z116" s="753"/>
      <c r="AA116" s="753"/>
      <c r="AB116" s="753"/>
      <c r="AC116" s="753"/>
      <c r="AD116" s="753"/>
      <c r="AE116" s="753"/>
      <c r="AF116" s="753"/>
      <c r="AG116" s="753"/>
      <c r="AH116" s="753"/>
      <c r="AI116" s="753"/>
      <c r="AJ116" s="753"/>
      <c r="AK116" s="753"/>
      <c r="AL116" s="753"/>
      <c r="AM116" s="753"/>
      <c r="AN116" s="753"/>
      <c r="AO116" s="753"/>
      <c r="AP116" s="753"/>
      <c r="AQ116" s="753"/>
      <c r="AR116" s="753"/>
      <c r="AS116" s="753"/>
      <c r="AT116" s="753"/>
      <c r="AU116" s="753"/>
      <c r="AV116" s="753"/>
      <c r="AW116" s="753"/>
      <c r="AX116" s="753"/>
      <c r="AY116" s="753"/>
      <c r="AZ116" s="753"/>
      <c r="BA116" s="753"/>
      <c r="BB116" s="753"/>
      <c r="BC116" s="753"/>
      <c r="BD116" s="753"/>
      <c r="BE116" s="753"/>
      <c r="BF116" s="753"/>
      <c r="BG116" s="753"/>
      <c r="BH116" s="753"/>
      <c r="BI116" s="753"/>
      <c r="BJ116" s="753"/>
      <c r="BK116" s="753"/>
      <c r="BL116" s="753"/>
      <c r="BM116" s="753"/>
      <c r="BN116" s="753"/>
      <c r="BO116" s="753"/>
      <c r="BP116" s="753"/>
      <c r="BQ116" s="753"/>
      <c r="BR116" s="753"/>
      <c r="BS116" s="753"/>
      <c r="BT116" s="753"/>
      <c r="BU116" s="753"/>
      <c r="BV116" s="753"/>
      <c r="BW116" s="753"/>
      <c r="BX116" s="753"/>
      <c r="BY116" s="753"/>
      <c r="BZ116" s="753"/>
      <c r="CA116" s="753"/>
      <c r="CB116" s="753"/>
      <c r="CC116" s="753"/>
      <c r="CD116" s="753"/>
      <c r="CE116" s="753"/>
      <c r="CF116" s="753"/>
      <c r="CG116" s="753"/>
      <c r="CH116" s="753"/>
      <c r="CI116" s="753"/>
      <c r="CJ116" s="753"/>
      <c r="CK116" s="753"/>
      <c r="CL116" s="753"/>
      <c r="CM116" s="753"/>
      <c r="CN116" s="753"/>
      <c r="CO116" s="753"/>
      <c r="CP116" s="753"/>
      <c r="CQ116" s="753"/>
      <c r="CR116" s="753"/>
      <c r="CS116" s="753"/>
      <c r="CT116" s="753"/>
      <c r="CU116" s="753"/>
      <c r="CV116" s="753"/>
      <c r="CW116" s="753"/>
      <c r="CX116" s="753"/>
      <c r="CY116" s="753"/>
      <c r="CZ116" s="753"/>
      <c r="DA116" s="753"/>
      <c r="DB116" s="753"/>
      <c r="DC116" s="753"/>
      <c r="DD116" s="753"/>
      <c r="DE116" s="753"/>
      <c r="DF116" s="753"/>
      <c r="DG116" s="753"/>
      <c r="DH116" s="753"/>
      <c r="DI116" s="753"/>
      <c r="DJ116" s="753"/>
      <c r="DK116" s="753"/>
      <c r="DL116" s="753"/>
      <c r="DM116" s="753"/>
      <c r="DN116" s="753"/>
      <c r="DO116" s="753"/>
      <c r="DP116" s="753"/>
    </row>
    <row r="117" spans="14:120" x14ac:dyDescent="0.25">
      <c r="N117" s="753"/>
      <c r="U117" s="753"/>
      <c r="V117" s="753"/>
      <c r="W117" s="753"/>
      <c r="X117" s="753"/>
      <c r="Y117" s="753"/>
      <c r="Z117" s="753"/>
      <c r="AA117" s="753"/>
      <c r="AB117" s="753"/>
      <c r="AC117" s="753"/>
      <c r="AD117" s="753"/>
      <c r="AE117" s="753"/>
      <c r="AF117" s="753"/>
      <c r="AG117" s="753"/>
      <c r="AH117" s="753"/>
      <c r="AI117" s="753"/>
      <c r="AJ117" s="753"/>
      <c r="AK117" s="753"/>
      <c r="AL117" s="753"/>
      <c r="AM117" s="753"/>
      <c r="AN117" s="753"/>
      <c r="AO117" s="753"/>
      <c r="AP117" s="753"/>
      <c r="AQ117" s="753"/>
      <c r="AR117" s="753"/>
      <c r="AS117" s="753"/>
      <c r="AT117" s="753"/>
      <c r="AU117" s="753"/>
      <c r="AV117" s="753"/>
      <c r="AW117" s="753"/>
      <c r="AX117" s="753"/>
      <c r="AY117" s="753"/>
      <c r="AZ117" s="753"/>
      <c r="BA117" s="753"/>
      <c r="BB117" s="753"/>
      <c r="BC117" s="753"/>
      <c r="BD117" s="753"/>
      <c r="BE117" s="753"/>
      <c r="BF117" s="753"/>
      <c r="BG117" s="753"/>
      <c r="BH117" s="753"/>
      <c r="BI117" s="753"/>
      <c r="BJ117" s="753"/>
      <c r="BK117" s="753"/>
      <c r="BL117" s="753"/>
      <c r="BM117" s="753"/>
      <c r="BN117" s="753"/>
      <c r="BO117" s="753"/>
      <c r="BP117" s="753"/>
      <c r="BQ117" s="753"/>
      <c r="BR117" s="753"/>
      <c r="BS117" s="753"/>
      <c r="BT117" s="753"/>
      <c r="BU117" s="753"/>
      <c r="BV117" s="753"/>
      <c r="BW117" s="753"/>
      <c r="BX117" s="753"/>
      <c r="BY117" s="753"/>
      <c r="BZ117" s="753"/>
      <c r="CA117" s="753"/>
      <c r="CB117" s="753"/>
      <c r="CC117" s="753"/>
      <c r="CD117" s="753"/>
      <c r="CE117" s="753"/>
      <c r="CF117" s="753"/>
      <c r="CG117" s="753"/>
      <c r="CH117" s="753"/>
      <c r="CI117" s="753"/>
      <c r="CJ117" s="753"/>
      <c r="CK117" s="753"/>
      <c r="CL117" s="753"/>
      <c r="CM117" s="753"/>
      <c r="CN117" s="753"/>
      <c r="CO117" s="753"/>
      <c r="CP117" s="753"/>
      <c r="CQ117" s="753"/>
      <c r="CR117" s="753"/>
      <c r="CS117" s="753"/>
      <c r="CT117" s="753"/>
      <c r="CU117" s="753"/>
      <c r="CV117" s="753"/>
      <c r="CW117" s="753"/>
      <c r="CX117" s="753"/>
      <c r="CY117" s="753"/>
      <c r="CZ117" s="753"/>
      <c r="DA117" s="753"/>
      <c r="DB117" s="753"/>
      <c r="DC117" s="753"/>
      <c r="DD117" s="753"/>
      <c r="DE117" s="753"/>
      <c r="DF117" s="753"/>
      <c r="DG117" s="753"/>
      <c r="DH117" s="753"/>
      <c r="DI117" s="753"/>
      <c r="DJ117" s="753"/>
      <c r="DK117" s="753"/>
      <c r="DL117" s="753"/>
      <c r="DM117" s="753"/>
      <c r="DN117" s="753"/>
      <c r="DO117" s="753"/>
      <c r="DP117" s="753"/>
    </row>
    <row r="118" spans="14:120" x14ac:dyDescent="0.25">
      <c r="N118" s="753"/>
      <c r="U118" s="753"/>
      <c r="V118" s="753"/>
      <c r="W118" s="753"/>
      <c r="X118" s="753"/>
      <c r="Y118" s="753"/>
      <c r="Z118" s="753"/>
      <c r="AA118" s="753"/>
      <c r="AB118" s="753"/>
      <c r="AC118" s="753"/>
      <c r="AD118" s="753"/>
      <c r="AE118" s="753"/>
      <c r="AF118" s="753"/>
      <c r="AG118" s="753"/>
      <c r="AH118" s="753"/>
      <c r="AI118" s="753"/>
      <c r="AJ118" s="753"/>
      <c r="AK118" s="753"/>
      <c r="AL118" s="753"/>
      <c r="AM118" s="753"/>
      <c r="AN118" s="753"/>
      <c r="AO118" s="753"/>
      <c r="AP118" s="753"/>
      <c r="AQ118" s="753"/>
      <c r="AR118" s="753"/>
      <c r="AS118" s="753"/>
      <c r="AT118" s="753"/>
      <c r="AU118" s="753"/>
      <c r="AV118" s="753"/>
      <c r="AW118" s="753"/>
      <c r="AX118" s="753"/>
      <c r="AY118" s="753"/>
      <c r="AZ118" s="753"/>
      <c r="BA118" s="753"/>
      <c r="BB118" s="753"/>
      <c r="BC118" s="753"/>
      <c r="BD118" s="753"/>
      <c r="BE118" s="753"/>
      <c r="BF118" s="753"/>
      <c r="BG118" s="753"/>
      <c r="BH118" s="753"/>
      <c r="BI118" s="753"/>
      <c r="BJ118" s="753"/>
      <c r="BK118" s="753"/>
      <c r="BL118" s="753"/>
      <c r="BM118" s="753"/>
      <c r="BN118" s="753"/>
      <c r="BO118" s="753"/>
      <c r="BP118" s="753"/>
      <c r="BQ118" s="753"/>
      <c r="BR118" s="753"/>
      <c r="BS118" s="753"/>
      <c r="BT118" s="753"/>
      <c r="BU118" s="753"/>
      <c r="BV118" s="753"/>
      <c r="BW118" s="753"/>
      <c r="BX118" s="753"/>
      <c r="BY118" s="753"/>
      <c r="BZ118" s="753"/>
      <c r="CA118" s="753"/>
      <c r="CB118" s="753"/>
      <c r="CC118" s="753"/>
      <c r="CD118" s="753"/>
      <c r="CE118" s="753"/>
      <c r="CF118" s="753"/>
      <c r="CG118" s="753"/>
      <c r="CH118" s="753"/>
      <c r="CI118" s="753"/>
      <c r="CJ118" s="753"/>
      <c r="CK118" s="753"/>
      <c r="CL118" s="753"/>
      <c r="CM118" s="753"/>
      <c r="CN118" s="753"/>
      <c r="CO118" s="753"/>
      <c r="CP118" s="753"/>
      <c r="CQ118" s="753"/>
      <c r="CR118" s="753"/>
      <c r="CS118" s="753"/>
      <c r="CT118" s="753"/>
      <c r="CU118" s="753"/>
      <c r="CV118" s="753"/>
      <c r="CW118" s="753"/>
      <c r="CX118" s="753"/>
      <c r="CY118" s="753"/>
      <c r="CZ118" s="753"/>
      <c r="DA118" s="753"/>
      <c r="DB118" s="753"/>
      <c r="DC118" s="753"/>
      <c r="DD118" s="753"/>
      <c r="DE118" s="753"/>
      <c r="DF118" s="753"/>
      <c r="DG118" s="753"/>
      <c r="DH118" s="753"/>
      <c r="DI118" s="753"/>
      <c r="DJ118" s="753"/>
      <c r="DK118" s="753"/>
      <c r="DL118" s="753"/>
      <c r="DM118" s="753"/>
      <c r="DN118" s="753"/>
      <c r="DO118" s="753"/>
      <c r="DP118" s="753"/>
    </row>
    <row r="119" spans="14:120" x14ac:dyDescent="0.25">
      <c r="N119" s="753"/>
      <c r="U119" s="753"/>
      <c r="V119" s="753"/>
      <c r="W119" s="753"/>
      <c r="X119" s="753"/>
      <c r="Y119" s="753"/>
      <c r="Z119" s="753"/>
      <c r="AA119" s="753"/>
      <c r="AB119" s="753"/>
      <c r="AC119" s="753"/>
      <c r="AD119" s="753"/>
      <c r="AE119" s="753"/>
      <c r="AF119" s="753"/>
      <c r="AG119" s="753"/>
      <c r="AH119" s="753"/>
      <c r="AI119" s="753"/>
      <c r="AJ119" s="753"/>
      <c r="AK119" s="753"/>
      <c r="AL119" s="753"/>
      <c r="AM119" s="753"/>
      <c r="AN119" s="753"/>
      <c r="AO119" s="753"/>
      <c r="AP119" s="753"/>
      <c r="AQ119" s="753"/>
      <c r="AR119" s="753"/>
      <c r="AS119" s="753"/>
      <c r="AT119" s="753"/>
      <c r="AU119" s="753"/>
      <c r="AV119" s="753"/>
      <c r="AW119" s="753"/>
      <c r="AX119" s="753"/>
      <c r="AY119" s="753"/>
      <c r="AZ119" s="753"/>
      <c r="BA119" s="753"/>
      <c r="BB119" s="753"/>
      <c r="BC119" s="753"/>
      <c r="BD119" s="753"/>
      <c r="BE119" s="753"/>
      <c r="BF119" s="753"/>
      <c r="BG119" s="753"/>
      <c r="BH119" s="753"/>
      <c r="BI119" s="753"/>
      <c r="BJ119" s="753"/>
      <c r="BK119" s="753"/>
      <c r="BL119" s="753"/>
      <c r="BM119" s="753"/>
      <c r="BN119" s="753"/>
      <c r="BO119" s="753"/>
      <c r="BP119" s="753"/>
      <c r="BQ119" s="753"/>
      <c r="BR119" s="753"/>
      <c r="BS119" s="753"/>
      <c r="BT119" s="753"/>
      <c r="BU119" s="753"/>
      <c r="BV119" s="753"/>
      <c r="BW119" s="753"/>
      <c r="BX119" s="753"/>
      <c r="BY119" s="753"/>
      <c r="BZ119" s="753"/>
      <c r="CA119" s="753"/>
      <c r="CB119" s="753"/>
      <c r="CC119" s="753"/>
      <c r="CD119" s="753"/>
      <c r="CE119" s="753"/>
      <c r="CF119" s="753"/>
      <c r="CG119" s="753"/>
      <c r="CH119" s="753"/>
      <c r="CI119" s="753"/>
      <c r="CJ119" s="753"/>
      <c r="CK119" s="753"/>
      <c r="CL119" s="753"/>
      <c r="CM119" s="753"/>
      <c r="CN119" s="753"/>
      <c r="CO119" s="753"/>
      <c r="CP119" s="753"/>
      <c r="CQ119" s="753"/>
      <c r="CR119" s="753"/>
      <c r="CS119" s="753"/>
      <c r="CT119" s="753"/>
      <c r="CU119" s="753"/>
      <c r="CV119" s="753"/>
      <c r="CW119" s="753"/>
      <c r="CX119" s="753"/>
      <c r="CY119" s="753"/>
      <c r="CZ119" s="753"/>
      <c r="DA119" s="753"/>
      <c r="DB119" s="753"/>
      <c r="DC119" s="753"/>
      <c r="DD119" s="753"/>
      <c r="DE119" s="753"/>
      <c r="DF119" s="753"/>
      <c r="DG119" s="753"/>
      <c r="DH119" s="753"/>
      <c r="DI119" s="753"/>
      <c r="DJ119" s="753"/>
      <c r="DK119" s="753"/>
      <c r="DL119" s="753"/>
      <c r="DM119" s="753"/>
      <c r="DN119" s="753"/>
      <c r="DO119" s="753"/>
      <c r="DP119" s="753"/>
    </row>
    <row r="120" spans="14:120" x14ac:dyDescent="0.25">
      <c r="N120" s="753"/>
      <c r="U120" s="753"/>
      <c r="V120" s="753"/>
      <c r="W120" s="753"/>
      <c r="X120" s="753"/>
      <c r="Y120" s="753"/>
      <c r="Z120" s="753"/>
      <c r="AA120" s="753"/>
      <c r="AB120" s="753"/>
      <c r="AC120" s="753"/>
      <c r="AD120" s="753"/>
      <c r="AE120" s="753"/>
      <c r="AF120" s="753"/>
      <c r="AG120" s="753"/>
      <c r="AH120" s="753"/>
      <c r="AI120" s="753"/>
      <c r="AJ120" s="753"/>
      <c r="AK120" s="753"/>
      <c r="AL120" s="753"/>
      <c r="AM120" s="753"/>
      <c r="AN120" s="753"/>
      <c r="AO120" s="753"/>
      <c r="AP120" s="753"/>
      <c r="AQ120" s="753"/>
      <c r="AR120" s="753"/>
      <c r="AS120" s="753"/>
      <c r="AT120" s="753"/>
      <c r="AU120" s="753"/>
      <c r="AV120" s="753"/>
      <c r="AW120" s="753"/>
      <c r="AX120" s="753"/>
      <c r="AY120" s="753"/>
      <c r="AZ120" s="753"/>
      <c r="BA120" s="753"/>
      <c r="BB120" s="753"/>
      <c r="BC120" s="753"/>
      <c r="BD120" s="753"/>
      <c r="BE120" s="753"/>
      <c r="BF120" s="753"/>
      <c r="BG120" s="753"/>
      <c r="BH120" s="753"/>
      <c r="BI120" s="753"/>
      <c r="BJ120" s="753"/>
      <c r="BK120" s="753"/>
      <c r="BL120" s="753"/>
      <c r="BM120" s="753"/>
      <c r="BN120" s="753"/>
      <c r="BO120" s="753"/>
      <c r="BP120" s="753"/>
      <c r="BQ120" s="753"/>
      <c r="BR120" s="753"/>
      <c r="BS120" s="753"/>
      <c r="BT120" s="753"/>
      <c r="BU120" s="753"/>
      <c r="BV120" s="753"/>
      <c r="BW120" s="753"/>
      <c r="BX120" s="753"/>
      <c r="BY120" s="753"/>
      <c r="BZ120" s="753"/>
      <c r="CA120" s="753"/>
      <c r="CB120" s="753"/>
      <c r="CC120" s="753"/>
      <c r="CD120" s="753"/>
      <c r="CE120" s="753"/>
      <c r="CF120" s="753"/>
      <c r="CG120" s="753"/>
      <c r="CH120" s="753"/>
      <c r="CI120" s="753"/>
      <c r="CJ120" s="753"/>
      <c r="CK120" s="753"/>
      <c r="CL120" s="753"/>
      <c r="CM120" s="753"/>
      <c r="CN120" s="753"/>
      <c r="CO120" s="753"/>
      <c r="CP120" s="753"/>
      <c r="CQ120" s="753"/>
      <c r="CR120" s="753"/>
      <c r="CS120" s="753"/>
      <c r="CT120" s="753"/>
      <c r="CU120" s="753"/>
      <c r="CV120" s="753"/>
      <c r="CW120" s="753"/>
      <c r="CX120" s="753"/>
      <c r="CY120" s="753"/>
      <c r="CZ120" s="753"/>
      <c r="DA120" s="753"/>
      <c r="DB120" s="753"/>
      <c r="DC120" s="753"/>
      <c r="DD120" s="753"/>
      <c r="DE120" s="753"/>
      <c r="DF120" s="753"/>
      <c r="DG120" s="753"/>
      <c r="DH120" s="753"/>
      <c r="DI120" s="753"/>
      <c r="DJ120" s="753"/>
      <c r="DK120" s="753"/>
      <c r="DL120" s="753"/>
      <c r="DM120" s="753"/>
      <c r="DN120" s="753"/>
      <c r="DO120" s="753"/>
      <c r="DP120" s="753"/>
    </row>
    <row r="121" spans="14:120" x14ac:dyDescent="0.25">
      <c r="N121" s="753"/>
      <c r="U121" s="753"/>
      <c r="V121" s="753"/>
      <c r="W121" s="753"/>
      <c r="X121" s="753"/>
      <c r="Y121" s="753"/>
      <c r="Z121" s="753"/>
      <c r="AA121" s="753"/>
      <c r="AB121" s="753"/>
      <c r="AC121" s="753"/>
      <c r="AD121" s="753"/>
      <c r="AE121" s="753"/>
      <c r="AF121" s="753"/>
      <c r="AG121" s="753"/>
      <c r="AH121" s="753"/>
      <c r="AI121" s="753"/>
      <c r="AJ121" s="753"/>
      <c r="AK121" s="753"/>
      <c r="AL121" s="753"/>
      <c r="AM121" s="753"/>
      <c r="AN121" s="753"/>
      <c r="AO121" s="753"/>
      <c r="AP121" s="753"/>
      <c r="AQ121" s="753"/>
      <c r="AR121" s="753"/>
      <c r="AS121" s="753"/>
      <c r="AT121" s="753"/>
      <c r="AU121" s="753"/>
      <c r="AV121" s="753"/>
      <c r="AW121" s="753"/>
      <c r="AX121" s="753"/>
      <c r="AY121" s="753"/>
      <c r="AZ121" s="753"/>
      <c r="BA121" s="753"/>
      <c r="BB121" s="753"/>
      <c r="BC121" s="753"/>
      <c r="BD121" s="753"/>
      <c r="BE121" s="753"/>
      <c r="BF121" s="753"/>
      <c r="BG121" s="753"/>
      <c r="BH121" s="753"/>
      <c r="BI121" s="753"/>
      <c r="BJ121" s="753"/>
      <c r="BK121" s="753"/>
      <c r="BL121" s="753"/>
      <c r="BM121" s="753"/>
      <c r="BN121" s="753"/>
      <c r="BO121" s="753"/>
      <c r="BP121" s="753"/>
      <c r="BQ121" s="753"/>
      <c r="BR121" s="753"/>
      <c r="BS121" s="753"/>
      <c r="BT121" s="753"/>
      <c r="BU121" s="753"/>
      <c r="BV121" s="753"/>
      <c r="BW121" s="753"/>
      <c r="BX121" s="753"/>
      <c r="BY121" s="753"/>
      <c r="BZ121" s="753"/>
      <c r="CA121" s="753"/>
      <c r="CB121" s="753"/>
      <c r="CC121" s="753"/>
      <c r="CD121" s="753"/>
      <c r="CE121" s="753"/>
      <c r="CF121" s="753"/>
      <c r="CG121" s="753"/>
      <c r="CH121" s="753"/>
      <c r="CI121" s="753"/>
      <c r="CJ121" s="753"/>
      <c r="CK121" s="753"/>
      <c r="CL121" s="753"/>
      <c r="CM121" s="753"/>
      <c r="CN121" s="753"/>
      <c r="CO121" s="753"/>
      <c r="CP121" s="753"/>
      <c r="CQ121" s="753"/>
      <c r="CR121" s="753"/>
      <c r="CS121" s="753"/>
      <c r="CT121" s="753"/>
      <c r="CU121" s="753"/>
      <c r="CV121" s="753"/>
      <c r="CW121" s="753"/>
      <c r="CX121" s="753"/>
      <c r="CY121" s="753"/>
      <c r="CZ121" s="753"/>
      <c r="DA121" s="753"/>
      <c r="DB121" s="753"/>
      <c r="DC121" s="753"/>
      <c r="DD121" s="753"/>
      <c r="DE121" s="753"/>
      <c r="DF121" s="753"/>
      <c r="DG121" s="753"/>
      <c r="DH121" s="753"/>
      <c r="DI121" s="753"/>
      <c r="DJ121" s="753"/>
      <c r="DK121" s="753"/>
      <c r="DL121" s="753"/>
      <c r="DM121" s="753"/>
      <c r="DN121" s="753"/>
      <c r="DO121" s="753"/>
      <c r="DP121" s="753"/>
    </row>
    <row r="122" spans="14:120" x14ac:dyDescent="0.25">
      <c r="N122" s="753"/>
      <c r="U122" s="753"/>
      <c r="V122" s="753"/>
      <c r="W122" s="753"/>
      <c r="X122" s="753"/>
      <c r="Y122" s="753"/>
      <c r="Z122" s="753"/>
      <c r="AA122" s="753"/>
      <c r="AB122" s="753"/>
      <c r="AC122" s="753"/>
      <c r="AD122" s="753"/>
      <c r="AE122" s="753"/>
      <c r="AF122" s="753"/>
      <c r="AG122" s="753"/>
      <c r="AH122" s="753"/>
      <c r="AI122" s="753"/>
      <c r="AJ122" s="753"/>
      <c r="AK122" s="753"/>
      <c r="AL122" s="753"/>
      <c r="AM122" s="753"/>
      <c r="AN122" s="753"/>
      <c r="AO122" s="753"/>
      <c r="AP122" s="753"/>
      <c r="AQ122" s="753"/>
      <c r="AR122" s="753"/>
      <c r="AS122" s="753"/>
      <c r="AT122" s="753"/>
      <c r="AU122" s="753"/>
      <c r="AV122" s="753"/>
      <c r="AW122" s="753"/>
      <c r="AX122" s="753"/>
      <c r="AY122" s="753"/>
      <c r="AZ122" s="753"/>
      <c r="BA122" s="753"/>
      <c r="BB122" s="753"/>
      <c r="BC122" s="753"/>
      <c r="BD122" s="753"/>
      <c r="BE122" s="753"/>
      <c r="BF122" s="753"/>
      <c r="BG122" s="753"/>
      <c r="BH122" s="753"/>
      <c r="BI122" s="753"/>
      <c r="BJ122" s="753"/>
      <c r="BK122" s="753"/>
      <c r="BL122" s="753"/>
      <c r="BM122" s="753"/>
      <c r="BN122" s="753"/>
      <c r="BO122" s="753"/>
      <c r="BP122" s="753"/>
      <c r="BQ122" s="753"/>
      <c r="BR122" s="753"/>
      <c r="BS122" s="753"/>
      <c r="BT122" s="753"/>
      <c r="BU122" s="753"/>
      <c r="BV122" s="753"/>
      <c r="BW122" s="753"/>
      <c r="BX122" s="753"/>
      <c r="BY122" s="753"/>
      <c r="BZ122" s="753"/>
      <c r="CA122" s="753"/>
      <c r="CB122" s="753"/>
      <c r="CC122" s="753"/>
      <c r="CD122" s="753"/>
      <c r="CE122" s="753"/>
      <c r="CF122" s="753"/>
      <c r="CG122" s="753"/>
      <c r="CH122" s="753"/>
      <c r="CI122" s="753"/>
      <c r="CJ122" s="753"/>
      <c r="CK122" s="753"/>
      <c r="CL122" s="753"/>
      <c r="CM122" s="753"/>
      <c r="CN122" s="753"/>
      <c r="CO122" s="753"/>
      <c r="CP122" s="753"/>
      <c r="CQ122" s="753"/>
      <c r="CR122" s="753"/>
      <c r="CS122" s="753"/>
      <c r="CT122" s="753"/>
      <c r="CU122" s="753"/>
      <c r="CV122" s="753"/>
      <c r="CW122" s="753"/>
      <c r="CX122" s="753"/>
      <c r="CY122" s="753"/>
      <c r="CZ122" s="753"/>
      <c r="DA122" s="753"/>
      <c r="DB122" s="753"/>
      <c r="DC122" s="753"/>
      <c r="DD122" s="753"/>
      <c r="DE122" s="753"/>
      <c r="DF122" s="753"/>
      <c r="DG122" s="753"/>
      <c r="DH122" s="753"/>
      <c r="DI122" s="753"/>
      <c r="DJ122" s="753"/>
      <c r="DK122" s="753"/>
      <c r="DL122" s="753"/>
      <c r="DM122" s="753"/>
      <c r="DN122" s="753"/>
      <c r="DO122" s="753"/>
      <c r="DP122" s="753"/>
    </row>
    <row r="123" spans="14:120" x14ac:dyDescent="0.25">
      <c r="N123" s="753"/>
      <c r="U123" s="753"/>
      <c r="V123" s="753"/>
      <c r="W123" s="753"/>
      <c r="X123" s="753"/>
      <c r="Y123" s="753"/>
      <c r="Z123" s="753"/>
      <c r="AA123" s="753"/>
      <c r="AB123" s="753"/>
      <c r="AC123" s="753"/>
      <c r="AD123" s="753"/>
      <c r="AE123" s="753"/>
      <c r="AF123" s="753"/>
      <c r="AG123" s="753"/>
      <c r="AH123" s="753"/>
      <c r="AI123" s="753"/>
      <c r="AJ123" s="753"/>
      <c r="AK123" s="753"/>
      <c r="AL123" s="753"/>
      <c r="AM123" s="753"/>
      <c r="AN123" s="753"/>
      <c r="AO123" s="753"/>
      <c r="AP123" s="753"/>
      <c r="AQ123" s="753"/>
      <c r="AR123" s="753"/>
      <c r="AS123" s="753"/>
      <c r="AT123" s="753"/>
      <c r="AU123" s="753"/>
      <c r="AV123" s="753"/>
      <c r="AW123" s="753"/>
      <c r="AX123" s="753"/>
      <c r="AY123" s="753"/>
      <c r="AZ123" s="753"/>
      <c r="BA123" s="753"/>
      <c r="BB123" s="753"/>
      <c r="BC123" s="753"/>
      <c r="BD123" s="753"/>
      <c r="BE123" s="753"/>
      <c r="BF123" s="753"/>
      <c r="BG123" s="753"/>
      <c r="BH123" s="753"/>
      <c r="BI123" s="753"/>
      <c r="BJ123" s="753"/>
      <c r="BK123" s="753"/>
      <c r="BL123" s="753"/>
      <c r="BM123" s="753"/>
      <c r="BN123" s="753"/>
      <c r="BO123" s="753"/>
      <c r="BP123" s="753"/>
      <c r="BQ123" s="753"/>
      <c r="BR123" s="753"/>
      <c r="BS123" s="753"/>
      <c r="BT123" s="753"/>
      <c r="BU123" s="753"/>
      <c r="BV123" s="753"/>
      <c r="BW123" s="753"/>
      <c r="BX123" s="753"/>
      <c r="BY123" s="753"/>
      <c r="BZ123" s="753"/>
      <c r="CA123" s="753"/>
      <c r="CB123" s="753"/>
      <c r="CC123" s="753"/>
      <c r="CD123" s="753"/>
      <c r="CE123" s="753"/>
      <c r="CF123" s="753"/>
      <c r="CG123" s="753"/>
      <c r="CH123" s="753"/>
      <c r="CI123" s="753"/>
      <c r="CJ123" s="753"/>
      <c r="CK123" s="753"/>
      <c r="CL123" s="753"/>
      <c r="CM123" s="753"/>
      <c r="CN123" s="753"/>
      <c r="CO123" s="753"/>
      <c r="CP123" s="753"/>
      <c r="CQ123" s="753"/>
      <c r="CR123" s="753"/>
      <c r="CS123" s="753"/>
      <c r="CT123" s="753"/>
      <c r="CU123" s="753"/>
      <c r="CV123" s="753"/>
      <c r="CW123" s="753"/>
      <c r="CX123" s="753"/>
      <c r="CY123" s="753"/>
      <c r="CZ123" s="753"/>
      <c r="DA123" s="753"/>
      <c r="DB123" s="753"/>
      <c r="DC123" s="753"/>
      <c r="DD123" s="753"/>
      <c r="DE123" s="753"/>
      <c r="DF123" s="753"/>
      <c r="DG123" s="753"/>
      <c r="DH123" s="753"/>
      <c r="DI123" s="753"/>
      <c r="DJ123" s="753"/>
      <c r="DK123" s="753"/>
      <c r="DL123" s="753"/>
      <c r="DM123" s="753"/>
      <c r="DN123" s="753"/>
      <c r="DO123" s="753"/>
      <c r="DP123" s="753"/>
    </row>
    <row r="124" spans="14:120" x14ac:dyDescent="0.25">
      <c r="N124" s="753"/>
      <c r="U124" s="753"/>
      <c r="V124" s="753"/>
      <c r="W124" s="753"/>
      <c r="X124" s="753"/>
      <c r="Y124" s="753"/>
      <c r="Z124" s="753"/>
      <c r="AA124" s="753"/>
      <c r="AB124" s="753"/>
      <c r="AC124" s="753"/>
      <c r="AD124" s="753"/>
      <c r="AE124" s="753"/>
      <c r="AF124" s="753"/>
      <c r="AG124" s="753"/>
      <c r="AH124" s="753"/>
      <c r="AI124" s="753"/>
      <c r="AJ124" s="753"/>
      <c r="AK124" s="753"/>
      <c r="AL124" s="753"/>
      <c r="AM124" s="753"/>
      <c r="AN124" s="753"/>
      <c r="AO124" s="753"/>
      <c r="AP124" s="753"/>
      <c r="AQ124" s="753"/>
      <c r="AR124" s="753"/>
      <c r="AS124" s="753"/>
      <c r="AT124" s="753"/>
      <c r="AU124" s="753"/>
      <c r="AV124" s="753"/>
      <c r="AW124" s="753"/>
      <c r="AX124" s="753"/>
      <c r="AY124" s="753"/>
      <c r="AZ124" s="753"/>
      <c r="BA124" s="753"/>
      <c r="BB124" s="753"/>
      <c r="BC124" s="753"/>
      <c r="BD124" s="753"/>
      <c r="BE124" s="753"/>
      <c r="BF124" s="753"/>
      <c r="BG124" s="753"/>
      <c r="BH124" s="753"/>
      <c r="BI124" s="753"/>
      <c r="BJ124" s="753"/>
      <c r="BK124" s="753"/>
      <c r="BL124" s="753"/>
      <c r="BM124" s="753"/>
      <c r="BN124" s="753"/>
      <c r="BO124" s="753"/>
      <c r="BP124" s="753"/>
      <c r="BQ124" s="753"/>
      <c r="BR124" s="753"/>
      <c r="BS124" s="753"/>
      <c r="BT124" s="753"/>
      <c r="BU124" s="753"/>
      <c r="BV124" s="753"/>
      <c r="BW124" s="753"/>
      <c r="BX124" s="753"/>
      <c r="BY124" s="753"/>
      <c r="BZ124" s="753"/>
      <c r="CA124" s="753"/>
      <c r="CB124" s="753"/>
      <c r="CC124" s="753"/>
      <c r="CD124" s="753"/>
      <c r="CE124" s="753"/>
      <c r="CF124" s="753"/>
      <c r="CG124" s="753"/>
      <c r="CH124" s="753"/>
      <c r="CI124" s="753"/>
      <c r="CJ124" s="753"/>
      <c r="CK124" s="753"/>
      <c r="CL124" s="753"/>
      <c r="CM124" s="753"/>
      <c r="CN124" s="753"/>
      <c r="CO124" s="753"/>
      <c r="CP124" s="753"/>
      <c r="CQ124" s="753"/>
      <c r="CR124" s="753"/>
      <c r="CS124" s="753"/>
      <c r="CT124" s="753"/>
      <c r="CU124" s="753"/>
      <c r="CV124" s="753"/>
      <c r="CW124" s="753"/>
      <c r="CX124" s="753"/>
      <c r="CY124" s="753"/>
      <c r="CZ124" s="753"/>
      <c r="DA124" s="753"/>
      <c r="DB124" s="753"/>
      <c r="DC124" s="753"/>
      <c r="DD124" s="753"/>
      <c r="DE124" s="753"/>
      <c r="DF124" s="753"/>
      <c r="DG124" s="753"/>
      <c r="DH124" s="753"/>
      <c r="DI124" s="753"/>
      <c r="DJ124" s="753"/>
      <c r="DK124" s="753"/>
      <c r="DL124" s="753"/>
      <c r="DM124" s="753"/>
      <c r="DN124" s="753"/>
      <c r="DO124" s="753"/>
      <c r="DP124" s="753"/>
    </row>
    <row r="125" spans="14:120" x14ac:dyDescent="0.25">
      <c r="N125" s="753"/>
      <c r="U125" s="753"/>
      <c r="V125" s="753"/>
      <c r="W125" s="753"/>
      <c r="X125" s="753"/>
      <c r="Y125" s="753"/>
      <c r="Z125" s="753"/>
      <c r="AA125" s="753"/>
      <c r="AB125" s="753"/>
      <c r="AC125" s="753"/>
      <c r="AD125" s="753"/>
      <c r="AE125" s="753"/>
      <c r="AF125" s="753"/>
      <c r="AG125" s="753"/>
      <c r="AH125" s="753"/>
      <c r="AI125" s="753"/>
      <c r="AJ125" s="753"/>
      <c r="AK125" s="753"/>
      <c r="AL125" s="753"/>
      <c r="AM125" s="753"/>
      <c r="AN125" s="753"/>
      <c r="AO125" s="753"/>
      <c r="AP125" s="753"/>
      <c r="AQ125" s="753"/>
      <c r="AR125" s="753"/>
      <c r="AS125" s="753"/>
      <c r="AT125" s="753"/>
      <c r="AU125" s="753"/>
      <c r="AV125" s="753"/>
      <c r="AW125" s="753"/>
      <c r="AX125" s="753"/>
      <c r="AY125" s="753"/>
      <c r="AZ125" s="753"/>
      <c r="BA125" s="753"/>
      <c r="BB125" s="753"/>
      <c r="BC125" s="753"/>
      <c r="BD125" s="753"/>
      <c r="BE125" s="753"/>
      <c r="BF125" s="753"/>
      <c r="BG125" s="753"/>
      <c r="BH125" s="753"/>
      <c r="BI125" s="753"/>
      <c r="BJ125" s="753"/>
      <c r="BK125" s="753"/>
      <c r="BL125" s="753"/>
      <c r="BM125" s="753"/>
      <c r="BN125" s="753"/>
      <c r="BO125" s="753"/>
      <c r="BP125" s="753"/>
      <c r="BQ125" s="753"/>
      <c r="BR125" s="753"/>
      <c r="BS125" s="753"/>
      <c r="BT125" s="753"/>
      <c r="BU125" s="753"/>
      <c r="BV125" s="753"/>
      <c r="BW125" s="753"/>
      <c r="BX125" s="753"/>
      <c r="BY125" s="753"/>
      <c r="BZ125" s="753"/>
      <c r="CA125" s="753"/>
      <c r="CB125" s="753"/>
      <c r="CC125" s="753"/>
      <c r="CD125" s="753"/>
      <c r="CE125" s="753"/>
      <c r="CF125" s="753"/>
      <c r="CG125" s="753"/>
      <c r="CH125" s="753"/>
      <c r="CI125" s="753"/>
      <c r="CJ125" s="753"/>
      <c r="CK125" s="753"/>
      <c r="CL125" s="753"/>
      <c r="CM125" s="753"/>
      <c r="CN125" s="753"/>
      <c r="CO125" s="753"/>
      <c r="CP125" s="753"/>
      <c r="CQ125" s="753"/>
      <c r="CR125" s="753"/>
      <c r="CS125" s="753"/>
      <c r="CT125" s="753"/>
      <c r="CU125" s="753"/>
      <c r="CV125" s="753"/>
      <c r="CW125" s="753"/>
      <c r="CX125" s="753"/>
      <c r="CY125" s="753"/>
      <c r="CZ125" s="753"/>
      <c r="DA125" s="753"/>
      <c r="DB125" s="753"/>
      <c r="DC125" s="753"/>
      <c r="DD125" s="753"/>
      <c r="DE125" s="753"/>
      <c r="DF125" s="753"/>
      <c r="DG125" s="753"/>
      <c r="DH125" s="753"/>
      <c r="DI125" s="753"/>
      <c r="DJ125" s="753"/>
      <c r="DK125" s="753"/>
      <c r="DL125" s="753"/>
      <c r="DM125" s="753"/>
      <c r="DN125" s="753"/>
      <c r="DO125" s="753"/>
      <c r="DP125" s="753"/>
    </row>
    <row r="126" spans="14:120" x14ac:dyDescent="0.25">
      <c r="N126" s="753"/>
      <c r="U126" s="753"/>
      <c r="V126" s="753"/>
      <c r="W126" s="753"/>
      <c r="X126" s="753"/>
      <c r="Y126" s="753"/>
      <c r="Z126" s="753"/>
      <c r="AA126" s="753"/>
      <c r="AB126" s="753"/>
      <c r="AC126" s="753"/>
      <c r="AD126" s="753"/>
      <c r="AE126" s="753"/>
      <c r="AF126" s="753"/>
      <c r="AG126" s="753"/>
      <c r="AH126" s="753"/>
      <c r="AI126" s="753"/>
      <c r="AJ126" s="753"/>
      <c r="AK126" s="753"/>
      <c r="AL126" s="753"/>
      <c r="AM126" s="753"/>
      <c r="AN126" s="753"/>
      <c r="AO126" s="753"/>
      <c r="AP126" s="753"/>
      <c r="AQ126" s="753"/>
      <c r="AR126" s="753"/>
      <c r="AS126" s="753"/>
      <c r="AT126" s="753"/>
      <c r="AU126" s="753"/>
      <c r="AV126" s="753"/>
      <c r="AW126" s="753"/>
      <c r="AX126" s="753"/>
      <c r="AY126" s="753"/>
      <c r="AZ126" s="753"/>
      <c r="BA126" s="753"/>
      <c r="BB126" s="753"/>
      <c r="BC126" s="753"/>
      <c r="BD126" s="753"/>
      <c r="BE126" s="753"/>
      <c r="BF126" s="753"/>
      <c r="BG126" s="753"/>
      <c r="BH126" s="753"/>
      <c r="BI126" s="753"/>
      <c r="BJ126" s="753"/>
      <c r="BK126" s="753"/>
      <c r="BL126" s="753"/>
      <c r="BM126" s="753"/>
      <c r="BN126" s="753"/>
      <c r="BO126" s="753"/>
      <c r="BP126" s="753"/>
      <c r="BQ126" s="753"/>
      <c r="BR126" s="753"/>
      <c r="BS126" s="753"/>
      <c r="BT126" s="753"/>
      <c r="BU126" s="753"/>
      <c r="BV126" s="753"/>
      <c r="BW126" s="753"/>
      <c r="BX126" s="753"/>
      <c r="BY126" s="753"/>
      <c r="BZ126" s="753"/>
      <c r="CA126" s="753"/>
      <c r="CB126" s="753"/>
      <c r="CC126" s="753"/>
      <c r="CD126" s="753"/>
      <c r="CE126" s="753"/>
      <c r="CF126" s="753"/>
      <c r="CG126" s="753"/>
      <c r="CH126" s="753"/>
      <c r="CI126" s="753"/>
      <c r="CJ126" s="753"/>
      <c r="CK126" s="753"/>
      <c r="CL126" s="753"/>
      <c r="CM126" s="753"/>
      <c r="CN126" s="753"/>
      <c r="CO126" s="753"/>
      <c r="CP126" s="753"/>
      <c r="CQ126" s="753"/>
      <c r="CR126" s="753"/>
      <c r="CS126" s="753"/>
      <c r="CT126" s="753"/>
      <c r="CU126" s="753"/>
      <c r="CV126" s="753"/>
      <c r="CW126" s="753"/>
      <c r="CX126" s="753"/>
      <c r="CY126" s="753"/>
      <c r="CZ126" s="753"/>
      <c r="DA126" s="753"/>
      <c r="DB126" s="753"/>
      <c r="DC126" s="753"/>
      <c r="DD126" s="753"/>
      <c r="DE126" s="753"/>
      <c r="DF126" s="753"/>
      <c r="DG126" s="753"/>
      <c r="DH126" s="753"/>
      <c r="DI126" s="753"/>
      <c r="DJ126" s="753"/>
      <c r="DK126" s="753"/>
      <c r="DL126" s="753"/>
      <c r="DM126" s="753"/>
      <c r="DN126" s="753"/>
      <c r="DO126" s="753"/>
      <c r="DP126" s="753"/>
    </row>
    <row r="127" spans="14:120" x14ac:dyDescent="0.25">
      <c r="N127" s="753"/>
      <c r="U127" s="753"/>
      <c r="V127" s="753"/>
      <c r="W127" s="753"/>
      <c r="X127" s="753"/>
      <c r="Y127" s="753"/>
      <c r="Z127" s="753"/>
      <c r="AA127" s="753"/>
      <c r="AB127" s="753"/>
      <c r="AC127" s="753"/>
      <c r="AD127" s="753"/>
      <c r="AE127" s="753"/>
      <c r="AF127" s="753"/>
      <c r="AG127" s="753"/>
      <c r="AH127" s="753"/>
      <c r="AI127" s="753"/>
      <c r="AJ127" s="753"/>
      <c r="AK127" s="753"/>
      <c r="AL127" s="753"/>
      <c r="AM127" s="753"/>
      <c r="AN127" s="753"/>
      <c r="AO127" s="753"/>
      <c r="AP127" s="753"/>
      <c r="AQ127" s="753"/>
      <c r="AR127" s="753"/>
      <c r="AS127" s="753"/>
      <c r="AT127" s="753"/>
      <c r="AU127" s="753"/>
      <c r="AV127" s="753"/>
      <c r="AW127" s="753"/>
      <c r="AX127" s="753"/>
      <c r="AY127" s="753"/>
      <c r="AZ127" s="753"/>
      <c r="BA127" s="753"/>
      <c r="BB127" s="753"/>
      <c r="BC127" s="753"/>
      <c r="BD127" s="753"/>
      <c r="BE127" s="753"/>
      <c r="BF127" s="753"/>
      <c r="BG127" s="753"/>
      <c r="BH127" s="753"/>
      <c r="BI127" s="753"/>
      <c r="BJ127" s="753"/>
      <c r="BK127" s="753"/>
      <c r="BL127" s="753"/>
      <c r="BM127" s="753"/>
      <c r="BN127" s="753"/>
      <c r="BO127" s="753"/>
      <c r="BP127" s="753"/>
      <c r="BQ127" s="753"/>
      <c r="BR127" s="753"/>
      <c r="BS127" s="753"/>
      <c r="BT127" s="753"/>
      <c r="BU127" s="753"/>
      <c r="BV127" s="753"/>
      <c r="BW127" s="753"/>
      <c r="BX127" s="753"/>
      <c r="BY127" s="753"/>
      <c r="BZ127" s="753"/>
      <c r="CA127" s="753"/>
      <c r="CB127" s="753"/>
      <c r="CC127" s="753"/>
      <c r="CD127" s="753"/>
      <c r="CE127" s="753"/>
      <c r="CF127" s="753"/>
      <c r="CG127" s="753"/>
      <c r="CH127" s="753"/>
      <c r="CI127" s="753"/>
      <c r="CJ127" s="753"/>
      <c r="CK127" s="753"/>
      <c r="CL127" s="753"/>
      <c r="CM127" s="753"/>
      <c r="CN127" s="753"/>
      <c r="CO127" s="753"/>
      <c r="CP127" s="753"/>
      <c r="CQ127" s="753"/>
      <c r="CR127" s="753"/>
      <c r="CS127" s="753"/>
      <c r="CT127" s="753"/>
      <c r="CU127" s="753"/>
      <c r="CV127" s="753"/>
      <c r="CW127" s="753"/>
      <c r="CX127" s="753"/>
      <c r="CY127" s="753"/>
      <c r="CZ127" s="753"/>
      <c r="DA127" s="753"/>
      <c r="DB127" s="753"/>
      <c r="DC127" s="753"/>
      <c r="DD127" s="753"/>
      <c r="DE127" s="753"/>
      <c r="DF127" s="753"/>
      <c r="DG127" s="753"/>
      <c r="DH127" s="753"/>
      <c r="DI127" s="753"/>
      <c r="DJ127" s="753"/>
      <c r="DK127" s="753"/>
      <c r="DL127" s="753"/>
      <c r="DM127" s="753"/>
      <c r="DN127" s="753"/>
      <c r="DO127" s="753"/>
      <c r="DP127" s="753"/>
    </row>
    <row r="128" spans="14:120" x14ac:dyDescent="0.25">
      <c r="N128" s="753"/>
      <c r="U128" s="753"/>
      <c r="V128" s="753"/>
      <c r="W128" s="753"/>
      <c r="X128" s="753"/>
      <c r="Y128" s="753"/>
      <c r="Z128" s="753"/>
      <c r="AA128" s="753"/>
      <c r="AB128" s="753"/>
      <c r="AC128" s="753"/>
      <c r="AD128" s="753"/>
      <c r="AE128" s="753"/>
      <c r="AF128" s="753"/>
      <c r="AG128" s="753"/>
      <c r="AH128" s="753"/>
      <c r="AI128" s="753"/>
      <c r="AJ128" s="753"/>
      <c r="AK128" s="753"/>
      <c r="AL128" s="753"/>
      <c r="AM128" s="753"/>
      <c r="AN128" s="753"/>
      <c r="AO128" s="753"/>
      <c r="AP128" s="753"/>
      <c r="AQ128" s="753"/>
      <c r="AR128" s="753"/>
      <c r="AS128" s="753"/>
      <c r="AT128" s="753"/>
      <c r="AU128" s="753"/>
      <c r="AV128" s="753"/>
      <c r="AW128" s="753"/>
      <c r="AX128" s="753"/>
      <c r="AY128" s="753"/>
      <c r="AZ128" s="753"/>
      <c r="BA128" s="753"/>
      <c r="BB128" s="753"/>
      <c r="BC128" s="753"/>
      <c r="BD128" s="753"/>
      <c r="BE128" s="753"/>
      <c r="BF128" s="753"/>
      <c r="BG128" s="753"/>
      <c r="BH128" s="753"/>
      <c r="BI128" s="753"/>
      <c r="BJ128" s="753"/>
      <c r="BK128" s="753"/>
      <c r="BL128" s="753"/>
      <c r="BM128" s="753"/>
      <c r="BN128" s="753"/>
      <c r="BO128" s="753"/>
      <c r="BP128" s="753"/>
      <c r="BQ128" s="753"/>
      <c r="BR128" s="753"/>
      <c r="BS128" s="753"/>
      <c r="BT128" s="753"/>
      <c r="BU128" s="753"/>
      <c r="BV128" s="753"/>
      <c r="BW128" s="753"/>
      <c r="BX128" s="753"/>
      <c r="BY128" s="753"/>
      <c r="BZ128" s="753"/>
      <c r="CA128" s="753"/>
      <c r="CB128" s="753"/>
      <c r="CC128" s="753"/>
      <c r="CD128" s="753"/>
      <c r="CE128" s="753"/>
      <c r="CF128" s="753"/>
      <c r="CG128" s="753"/>
      <c r="CH128" s="753"/>
      <c r="CI128" s="753"/>
      <c r="CJ128" s="753"/>
      <c r="CK128" s="753"/>
      <c r="CL128" s="753"/>
      <c r="CM128" s="753"/>
      <c r="CN128" s="753"/>
      <c r="CO128" s="753"/>
      <c r="CP128" s="753"/>
      <c r="CQ128" s="753"/>
      <c r="CR128" s="753"/>
      <c r="CS128" s="753"/>
      <c r="CT128" s="753"/>
      <c r="CU128" s="753"/>
      <c r="CV128" s="753"/>
      <c r="CW128" s="753"/>
      <c r="CX128" s="753"/>
      <c r="CY128" s="753"/>
      <c r="CZ128" s="753"/>
      <c r="DA128" s="753"/>
      <c r="DB128" s="753"/>
      <c r="DC128" s="753"/>
      <c r="DD128" s="753"/>
      <c r="DE128" s="753"/>
      <c r="DF128" s="753"/>
      <c r="DG128" s="753"/>
      <c r="DH128" s="753"/>
      <c r="DI128" s="753"/>
      <c r="DJ128" s="753"/>
      <c r="DK128" s="753"/>
      <c r="DL128" s="753"/>
      <c r="DM128" s="753"/>
      <c r="DN128" s="753"/>
      <c r="DO128" s="753"/>
      <c r="DP128" s="753"/>
    </row>
    <row r="129" spans="14:120" x14ac:dyDescent="0.25">
      <c r="N129" s="753"/>
      <c r="U129" s="753"/>
      <c r="V129" s="753"/>
      <c r="W129" s="753"/>
      <c r="X129" s="753"/>
      <c r="Y129" s="753"/>
      <c r="Z129" s="753"/>
      <c r="AA129" s="753"/>
      <c r="AB129" s="753"/>
      <c r="AC129" s="753"/>
      <c r="AD129" s="753"/>
      <c r="AE129" s="753"/>
      <c r="AF129" s="753"/>
      <c r="AG129" s="753"/>
      <c r="AH129" s="753"/>
      <c r="AI129" s="753"/>
      <c r="AJ129" s="753"/>
      <c r="AK129" s="753"/>
      <c r="AL129" s="753"/>
      <c r="AM129" s="753"/>
      <c r="AN129" s="753"/>
      <c r="AO129" s="753"/>
      <c r="AP129" s="753"/>
      <c r="AQ129" s="753"/>
      <c r="AR129" s="753"/>
      <c r="AS129" s="753"/>
      <c r="AT129" s="753"/>
      <c r="AU129" s="753"/>
      <c r="AV129" s="753"/>
      <c r="AW129" s="753"/>
      <c r="AX129" s="753"/>
      <c r="AY129" s="753"/>
      <c r="AZ129" s="753"/>
      <c r="BA129" s="753"/>
      <c r="BB129" s="753"/>
      <c r="BC129" s="753"/>
      <c r="BD129" s="753"/>
      <c r="BE129" s="753"/>
      <c r="BF129" s="753"/>
      <c r="BG129" s="753"/>
      <c r="BH129" s="753"/>
      <c r="BI129" s="753"/>
      <c r="BJ129" s="753"/>
      <c r="BK129" s="753"/>
      <c r="BL129" s="753"/>
      <c r="BM129" s="753"/>
      <c r="BN129" s="753"/>
      <c r="BO129" s="753"/>
      <c r="BP129" s="753"/>
      <c r="BQ129" s="753"/>
      <c r="BR129" s="753"/>
      <c r="BS129" s="753"/>
      <c r="BT129" s="753"/>
      <c r="BU129" s="753"/>
      <c r="BV129" s="753"/>
      <c r="BW129" s="753"/>
      <c r="BX129" s="753"/>
      <c r="BY129" s="753"/>
      <c r="BZ129" s="753"/>
      <c r="CA129" s="753"/>
      <c r="CB129" s="753"/>
      <c r="CC129" s="753"/>
      <c r="CD129" s="753"/>
      <c r="CE129" s="753"/>
      <c r="CF129" s="753"/>
      <c r="CG129" s="753"/>
      <c r="CH129" s="753"/>
      <c r="CI129" s="753"/>
      <c r="CJ129" s="753"/>
      <c r="CK129" s="753"/>
      <c r="CL129" s="753"/>
      <c r="CM129" s="753"/>
      <c r="CN129" s="753"/>
      <c r="CO129" s="753"/>
      <c r="CP129" s="753"/>
      <c r="CQ129" s="753"/>
      <c r="CR129" s="753"/>
      <c r="CS129" s="753"/>
      <c r="CT129" s="753"/>
      <c r="CU129" s="753"/>
      <c r="CV129" s="753"/>
      <c r="CW129" s="753"/>
      <c r="CX129" s="753"/>
      <c r="CY129" s="753"/>
      <c r="CZ129" s="753"/>
      <c r="DA129" s="753"/>
      <c r="DB129" s="753"/>
      <c r="DC129" s="753"/>
      <c r="DD129" s="753"/>
      <c r="DE129" s="753"/>
      <c r="DF129" s="753"/>
      <c r="DG129" s="753"/>
      <c r="DH129" s="753"/>
      <c r="DI129" s="753"/>
      <c r="DJ129" s="753"/>
      <c r="DK129" s="753"/>
      <c r="DL129" s="753"/>
      <c r="DM129" s="753"/>
      <c r="DN129" s="753"/>
      <c r="DO129" s="753"/>
      <c r="DP129" s="753"/>
    </row>
    <row r="130" spans="14:120" x14ac:dyDescent="0.25">
      <c r="N130" s="753"/>
      <c r="U130" s="753"/>
      <c r="V130" s="753"/>
      <c r="W130" s="753"/>
      <c r="X130" s="753"/>
      <c r="Y130" s="753"/>
      <c r="Z130" s="753"/>
      <c r="AA130" s="753"/>
      <c r="AB130" s="753"/>
      <c r="AC130" s="753"/>
      <c r="AD130" s="753"/>
      <c r="AE130" s="753"/>
      <c r="AF130" s="753"/>
      <c r="AG130" s="753"/>
      <c r="AH130" s="753"/>
      <c r="AI130" s="753"/>
      <c r="AJ130" s="753"/>
      <c r="AK130" s="753"/>
      <c r="AL130" s="753"/>
      <c r="AM130" s="753"/>
      <c r="AN130" s="753"/>
      <c r="AO130" s="753"/>
      <c r="AP130" s="753"/>
      <c r="AQ130" s="753"/>
      <c r="AR130" s="753"/>
      <c r="AS130" s="753"/>
      <c r="AT130" s="753"/>
      <c r="AU130" s="753"/>
      <c r="AV130" s="753"/>
      <c r="AW130" s="753"/>
      <c r="AX130" s="753"/>
      <c r="AY130" s="753"/>
      <c r="AZ130" s="753"/>
      <c r="BA130" s="753"/>
      <c r="BB130" s="753"/>
      <c r="BC130" s="753"/>
      <c r="BD130" s="753"/>
      <c r="BE130" s="753"/>
      <c r="BF130" s="753"/>
      <c r="BG130" s="753"/>
      <c r="BH130" s="753"/>
      <c r="BI130" s="753"/>
      <c r="BJ130" s="753"/>
      <c r="BK130" s="753"/>
      <c r="BL130" s="753"/>
      <c r="BM130" s="753"/>
      <c r="BN130" s="753"/>
      <c r="BO130" s="753"/>
      <c r="BP130" s="753"/>
      <c r="BQ130" s="753"/>
      <c r="BR130" s="753"/>
      <c r="BS130" s="753"/>
      <c r="BT130" s="753"/>
      <c r="BU130" s="753"/>
      <c r="BV130" s="753"/>
      <c r="BW130" s="753"/>
      <c r="BX130" s="753"/>
      <c r="BY130" s="753"/>
      <c r="BZ130" s="753"/>
      <c r="CA130" s="753"/>
      <c r="CB130" s="753"/>
      <c r="CC130" s="753"/>
      <c r="CD130" s="753"/>
      <c r="CE130" s="753"/>
      <c r="CF130" s="753"/>
      <c r="CG130" s="753"/>
      <c r="CH130" s="753"/>
      <c r="CI130" s="753"/>
      <c r="CJ130" s="753"/>
      <c r="CK130" s="753"/>
      <c r="CL130" s="753"/>
      <c r="CM130" s="753"/>
      <c r="CN130" s="753"/>
      <c r="CO130" s="753"/>
      <c r="CP130" s="753"/>
      <c r="CQ130" s="753"/>
      <c r="CR130" s="753"/>
      <c r="CS130" s="753"/>
      <c r="CT130" s="753"/>
      <c r="CU130" s="753"/>
      <c r="CV130" s="753"/>
      <c r="CW130" s="753"/>
      <c r="CX130" s="753"/>
      <c r="CY130" s="753"/>
      <c r="CZ130" s="753"/>
      <c r="DA130" s="753"/>
      <c r="DB130" s="753"/>
      <c r="DC130" s="753"/>
      <c r="DD130" s="753"/>
      <c r="DE130" s="753"/>
      <c r="DF130" s="753"/>
      <c r="DG130" s="753"/>
      <c r="DH130" s="753"/>
      <c r="DI130" s="753"/>
      <c r="DJ130" s="753"/>
      <c r="DK130" s="753"/>
      <c r="DL130" s="753"/>
      <c r="DM130" s="753"/>
      <c r="DN130" s="753"/>
      <c r="DO130" s="753"/>
      <c r="DP130" s="753"/>
    </row>
    <row r="131" spans="14:120" x14ac:dyDescent="0.25">
      <c r="N131" s="753"/>
      <c r="U131" s="753"/>
      <c r="V131" s="753"/>
      <c r="W131" s="753"/>
      <c r="X131" s="753"/>
      <c r="Y131" s="753"/>
      <c r="Z131" s="753"/>
      <c r="AA131" s="753"/>
      <c r="AB131" s="753"/>
      <c r="AC131" s="753"/>
      <c r="AD131" s="753"/>
      <c r="AE131" s="753"/>
      <c r="AF131" s="753"/>
      <c r="AG131" s="753"/>
      <c r="AH131" s="753"/>
      <c r="AI131" s="753"/>
      <c r="AJ131" s="753"/>
      <c r="AK131" s="753"/>
      <c r="AL131" s="753"/>
      <c r="AM131" s="753"/>
      <c r="AN131" s="753"/>
      <c r="AO131" s="753"/>
      <c r="AP131" s="753"/>
      <c r="AQ131" s="753"/>
      <c r="AR131" s="753"/>
      <c r="AS131" s="753"/>
      <c r="AT131" s="753"/>
      <c r="AU131" s="753"/>
      <c r="AV131" s="753"/>
      <c r="AW131" s="753"/>
      <c r="AX131" s="753"/>
      <c r="AY131" s="753"/>
      <c r="AZ131" s="753"/>
      <c r="BA131" s="753"/>
      <c r="BB131" s="753"/>
      <c r="BC131" s="753"/>
      <c r="BD131" s="753"/>
      <c r="BE131" s="753"/>
      <c r="BF131" s="753"/>
      <c r="BG131" s="753"/>
      <c r="BH131" s="753"/>
      <c r="BI131" s="753"/>
      <c r="BJ131" s="753"/>
      <c r="BK131" s="753"/>
      <c r="BL131" s="753"/>
      <c r="BM131" s="753"/>
      <c r="BN131" s="753"/>
      <c r="BO131" s="753"/>
      <c r="BP131" s="753"/>
      <c r="BQ131" s="753"/>
      <c r="BR131" s="753"/>
      <c r="BS131" s="753"/>
      <c r="BT131" s="753"/>
      <c r="BU131" s="753"/>
      <c r="BV131" s="753"/>
      <c r="BW131" s="753"/>
      <c r="BX131" s="753"/>
      <c r="BY131" s="753"/>
      <c r="BZ131" s="753"/>
      <c r="CA131" s="753"/>
      <c r="CB131" s="753"/>
      <c r="CC131" s="753"/>
      <c r="CD131" s="753"/>
      <c r="CE131" s="753"/>
      <c r="CF131" s="753"/>
      <c r="CG131" s="753"/>
      <c r="CH131" s="753"/>
      <c r="CI131" s="753"/>
      <c r="CJ131" s="753"/>
      <c r="CK131" s="753"/>
      <c r="CL131" s="753"/>
      <c r="CM131" s="753"/>
      <c r="CN131" s="753"/>
      <c r="CO131" s="753"/>
      <c r="CP131" s="753"/>
      <c r="CQ131" s="753"/>
      <c r="CR131" s="753"/>
      <c r="CS131" s="753"/>
      <c r="CT131" s="753"/>
      <c r="CU131" s="753"/>
      <c r="CV131" s="753"/>
      <c r="CW131" s="753"/>
      <c r="CX131" s="753"/>
      <c r="CY131" s="753"/>
      <c r="CZ131" s="753"/>
      <c r="DA131" s="753"/>
      <c r="DB131" s="753"/>
      <c r="DC131" s="753"/>
      <c r="DD131" s="753"/>
      <c r="DE131" s="753"/>
      <c r="DF131" s="753"/>
      <c r="DG131" s="753"/>
      <c r="DH131" s="753"/>
      <c r="DI131" s="753"/>
      <c r="DJ131" s="753"/>
      <c r="DK131" s="753"/>
      <c r="DL131" s="753"/>
      <c r="DM131" s="753"/>
      <c r="DN131" s="753"/>
      <c r="DO131" s="753"/>
      <c r="DP131" s="753"/>
    </row>
    <row r="132" spans="14:120" x14ac:dyDescent="0.25">
      <c r="N132" s="753"/>
      <c r="U132" s="753"/>
      <c r="V132" s="753"/>
      <c r="W132" s="753"/>
      <c r="X132" s="753"/>
      <c r="Y132" s="753"/>
      <c r="Z132" s="753"/>
      <c r="AA132" s="753"/>
      <c r="AB132" s="753"/>
      <c r="AC132" s="753"/>
      <c r="AD132" s="753"/>
      <c r="AE132" s="753"/>
      <c r="AF132" s="753"/>
      <c r="AG132" s="753"/>
      <c r="AH132" s="753"/>
      <c r="AI132" s="753"/>
      <c r="AJ132" s="753"/>
      <c r="AK132" s="753"/>
      <c r="AL132" s="753"/>
      <c r="AM132" s="753"/>
      <c r="AN132" s="753"/>
      <c r="AO132" s="753"/>
      <c r="AP132" s="753"/>
      <c r="AQ132" s="753"/>
      <c r="AR132" s="753"/>
      <c r="AS132" s="753"/>
      <c r="AT132" s="753"/>
      <c r="AU132" s="753"/>
      <c r="AV132" s="753"/>
      <c r="AW132" s="753"/>
      <c r="AX132" s="753"/>
      <c r="AY132" s="753"/>
      <c r="AZ132" s="753"/>
      <c r="BA132" s="753"/>
      <c r="BB132" s="753"/>
      <c r="BC132" s="753"/>
      <c r="BD132" s="753"/>
      <c r="BE132" s="753"/>
      <c r="BF132" s="753"/>
      <c r="BG132" s="753"/>
      <c r="BH132" s="753"/>
      <c r="BI132" s="753"/>
      <c r="BJ132" s="753"/>
      <c r="BK132" s="753"/>
      <c r="BL132" s="753"/>
      <c r="BM132" s="753"/>
      <c r="BN132" s="753"/>
      <c r="BO132" s="753"/>
      <c r="BP132" s="753"/>
      <c r="BQ132" s="753"/>
      <c r="BR132" s="753"/>
      <c r="BS132" s="753"/>
      <c r="BT132" s="753"/>
      <c r="BU132" s="753"/>
      <c r="BV132" s="753"/>
      <c r="BW132" s="753"/>
      <c r="BX132" s="753"/>
      <c r="BY132" s="753"/>
      <c r="BZ132" s="753"/>
      <c r="CA132" s="753"/>
      <c r="CB132" s="753"/>
      <c r="CC132" s="753"/>
      <c r="CD132" s="753"/>
      <c r="CE132" s="753"/>
      <c r="CF132" s="753"/>
      <c r="CG132" s="753"/>
      <c r="CH132" s="753"/>
      <c r="CI132" s="753"/>
      <c r="CJ132" s="753"/>
      <c r="CK132" s="753"/>
      <c r="CL132" s="753"/>
      <c r="CM132" s="753"/>
      <c r="CN132" s="753"/>
      <c r="CO132" s="753"/>
      <c r="CP132" s="753"/>
      <c r="CQ132" s="753"/>
      <c r="CR132" s="753"/>
      <c r="CS132" s="753"/>
      <c r="CT132" s="753"/>
      <c r="CU132" s="753"/>
      <c r="CV132" s="753"/>
      <c r="CW132" s="753"/>
      <c r="CX132" s="753"/>
      <c r="CY132" s="753"/>
      <c r="CZ132" s="753"/>
      <c r="DA132" s="753"/>
      <c r="DB132" s="753"/>
      <c r="DC132" s="753"/>
      <c r="DD132" s="753"/>
      <c r="DE132" s="753"/>
      <c r="DF132" s="753"/>
      <c r="DG132" s="753"/>
      <c r="DH132" s="753"/>
      <c r="DI132" s="753"/>
      <c r="DJ132" s="753"/>
      <c r="DK132" s="753"/>
      <c r="DL132" s="753"/>
      <c r="DM132" s="753"/>
      <c r="DN132" s="753"/>
      <c r="DO132" s="753"/>
      <c r="DP132" s="753"/>
    </row>
    <row r="133" spans="14:120" x14ac:dyDescent="0.25">
      <c r="N133" s="753"/>
      <c r="U133" s="753"/>
      <c r="V133" s="753"/>
      <c r="W133" s="753"/>
      <c r="X133" s="753"/>
      <c r="Y133" s="753"/>
      <c r="Z133" s="753"/>
      <c r="AA133" s="753"/>
      <c r="AB133" s="753"/>
      <c r="AC133" s="753"/>
      <c r="AD133" s="753"/>
      <c r="AE133" s="753"/>
      <c r="AF133" s="753"/>
      <c r="AG133" s="753"/>
      <c r="AH133" s="753"/>
      <c r="AI133" s="753"/>
      <c r="AJ133" s="753"/>
      <c r="AK133" s="753"/>
      <c r="AL133" s="753"/>
      <c r="AM133" s="753"/>
      <c r="AN133" s="753"/>
      <c r="AO133" s="753"/>
      <c r="AP133" s="753"/>
      <c r="AQ133" s="753"/>
      <c r="AR133" s="753"/>
      <c r="AS133" s="753"/>
      <c r="AT133" s="753"/>
      <c r="AU133" s="753"/>
      <c r="AV133" s="753"/>
      <c r="AW133" s="753"/>
      <c r="AX133" s="753"/>
      <c r="AY133" s="753"/>
      <c r="AZ133" s="753"/>
      <c r="BA133" s="753"/>
      <c r="BB133" s="753"/>
      <c r="BC133" s="753"/>
      <c r="BD133" s="753"/>
      <c r="BE133" s="753"/>
      <c r="BF133" s="753"/>
      <c r="BG133" s="753"/>
      <c r="BH133" s="753"/>
      <c r="BI133" s="753"/>
      <c r="BJ133" s="753"/>
      <c r="BK133" s="753"/>
      <c r="BL133" s="753"/>
      <c r="BM133" s="753"/>
      <c r="BN133" s="753"/>
      <c r="BO133" s="753"/>
      <c r="BP133" s="753"/>
      <c r="BQ133" s="753"/>
      <c r="BR133" s="753"/>
      <c r="BS133" s="753"/>
      <c r="BT133" s="753"/>
      <c r="BU133" s="753"/>
      <c r="BV133" s="753"/>
      <c r="BW133" s="753"/>
      <c r="BX133" s="753"/>
      <c r="BY133" s="753"/>
      <c r="BZ133" s="753"/>
      <c r="CA133" s="753"/>
      <c r="CB133" s="753"/>
      <c r="CC133" s="753"/>
      <c r="CD133" s="753"/>
      <c r="CE133" s="753"/>
      <c r="CF133" s="753"/>
      <c r="CG133" s="753"/>
      <c r="CH133" s="753"/>
      <c r="CI133" s="753"/>
      <c r="CJ133" s="753"/>
      <c r="CK133" s="753"/>
      <c r="CL133" s="753"/>
      <c r="CM133" s="753"/>
      <c r="CN133" s="753"/>
      <c r="CO133" s="753"/>
      <c r="CP133" s="753"/>
      <c r="CQ133" s="753"/>
      <c r="CR133" s="753"/>
      <c r="CS133" s="753"/>
      <c r="CT133" s="753"/>
      <c r="CU133" s="753"/>
      <c r="CV133" s="753"/>
      <c r="CW133" s="753"/>
      <c r="CX133" s="753"/>
      <c r="CY133" s="753"/>
      <c r="CZ133" s="753"/>
      <c r="DA133" s="753"/>
      <c r="DB133" s="753"/>
      <c r="DC133" s="753"/>
      <c r="DD133" s="753"/>
      <c r="DE133" s="753"/>
      <c r="DF133" s="753"/>
      <c r="DG133" s="753"/>
      <c r="DH133" s="753"/>
      <c r="DI133" s="753"/>
      <c r="DJ133" s="753"/>
      <c r="DK133" s="753"/>
      <c r="DL133" s="753"/>
      <c r="DM133" s="753"/>
      <c r="DN133" s="753"/>
      <c r="DO133" s="753"/>
      <c r="DP133" s="753"/>
    </row>
    <row r="134" spans="14:120" x14ac:dyDescent="0.25">
      <c r="N134" s="753"/>
      <c r="U134" s="753"/>
      <c r="V134" s="753"/>
      <c r="W134" s="753"/>
      <c r="X134" s="753"/>
      <c r="Y134" s="753"/>
      <c r="Z134" s="753"/>
      <c r="AA134" s="753"/>
      <c r="AB134" s="753"/>
      <c r="AC134" s="753"/>
      <c r="AD134" s="753"/>
      <c r="AE134" s="753"/>
      <c r="AF134" s="753"/>
      <c r="AG134" s="753"/>
      <c r="AH134" s="753"/>
      <c r="AI134" s="753"/>
      <c r="AJ134" s="753"/>
      <c r="AK134" s="753"/>
      <c r="AL134" s="753"/>
      <c r="AM134" s="753"/>
      <c r="AN134" s="753"/>
      <c r="AO134" s="753"/>
      <c r="AP134" s="753"/>
      <c r="AQ134" s="753"/>
      <c r="AR134" s="753"/>
      <c r="AS134" s="753"/>
      <c r="AT134" s="753"/>
      <c r="AU134" s="753"/>
      <c r="AV134" s="753"/>
      <c r="AW134" s="753"/>
      <c r="AX134" s="753"/>
      <c r="AY134" s="753"/>
      <c r="AZ134" s="753"/>
      <c r="BA134" s="753"/>
      <c r="BB134" s="753"/>
      <c r="BC134" s="753"/>
      <c r="BD134" s="753"/>
      <c r="BE134" s="753"/>
      <c r="BF134" s="753"/>
      <c r="BG134" s="753"/>
      <c r="BH134" s="753"/>
      <c r="BI134" s="753"/>
      <c r="BJ134" s="753"/>
      <c r="BK134" s="753"/>
      <c r="BL134" s="753"/>
      <c r="BM134" s="753"/>
      <c r="BN134" s="753"/>
      <c r="BO134" s="753"/>
      <c r="BP134" s="753"/>
      <c r="BQ134" s="753"/>
      <c r="BR134" s="753"/>
      <c r="BS134" s="753"/>
      <c r="BT134" s="753"/>
      <c r="BU134" s="753"/>
      <c r="BV134" s="753"/>
      <c r="BW134" s="753"/>
      <c r="BX134" s="753"/>
      <c r="BY134" s="753"/>
      <c r="BZ134" s="753"/>
      <c r="CA134" s="753"/>
      <c r="CB134" s="753"/>
      <c r="CC134" s="753"/>
      <c r="CD134" s="753"/>
      <c r="CE134" s="753"/>
      <c r="CF134" s="753"/>
      <c r="CG134" s="753"/>
      <c r="CH134" s="753"/>
      <c r="CI134" s="753"/>
      <c r="CJ134" s="753"/>
      <c r="CK134" s="753"/>
      <c r="CL134" s="753"/>
      <c r="CM134" s="753"/>
      <c r="CN134" s="753"/>
      <c r="CO134" s="753"/>
      <c r="CP134" s="753"/>
      <c r="CQ134" s="753"/>
      <c r="CR134" s="753"/>
      <c r="CS134" s="753"/>
      <c r="CT134" s="753"/>
      <c r="CU134" s="753"/>
      <c r="CV134" s="753"/>
      <c r="CW134" s="753"/>
      <c r="CX134" s="753"/>
      <c r="CY134" s="753"/>
      <c r="CZ134" s="753"/>
      <c r="DA134" s="753"/>
      <c r="DB134" s="753"/>
      <c r="DC134" s="753"/>
      <c r="DD134" s="753"/>
      <c r="DE134" s="753"/>
      <c r="DF134" s="753"/>
      <c r="DG134" s="753"/>
      <c r="DH134" s="753"/>
      <c r="DI134" s="753"/>
      <c r="DJ134" s="753"/>
      <c r="DK134" s="753"/>
      <c r="DL134" s="753"/>
      <c r="DM134" s="753"/>
      <c r="DN134" s="753"/>
      <c r="DO134" s="753"/>
      <c r="DP134" s="753"/>
    </row>
    <row r="135" spans="14:120" x14ac:dyDescent="0.25">
      <c r="N135" s="753"/>
      <c r="U135" s="753"/>
      <c r="V135" s="753"/>
      <c r="W135" s="753"/>
      <c r="X135" s="753"/>
      <c r="Y135" s="753"/>
      <c r="Z135" s="753"/>
      <c r="AA135" s="753"/>
      <c r="AB135" s="753"/>
      <c r="AC135" s="753"/>
      <c r="AD135" s="753"/>
      <c r="AE135" s="753"/>
      <c r="AF135" s="753"/>
      <c r="AG135" s="753"/>
      <c r="AH135" s="753"/>
      <c r="AI135" s="753"/>
      <c r="AJ135" s="753"/>
      <c r="AK135" s="753"/>
      <c r="AL135" s="753"/>
      <c r="AM135" s="753"/>
      <c r="AN135" s="753"/>
      <c r="AO135" s="753"/>
      <c r="AP135" s="753"/>
      <c r="AQ135" s="753"/>
      <c r="AR135" s="753"/>
      <c r="AS135" s="753"/>
      <c r="AT135" s="753"/>
      <c r="AU135" s="753"/>
      <c r="AV135" s="753"/>
      <c r="AW135" s="753"/>
      <c r="AX135" s="753"/>
      <c r="AY135" s="753"/>
      <c r="AZ135" s="753"/>
      <c r="BA135" s="753"/>
      <c r="BB135" s="753"/>
      <c r="BC135" s="753"/>
      <c r="BD135" s="753"/>
      <c r="BE135" s="753"/>
      <c r="BF135" s="753"/>
      <c r="BG135" s="753"/>
      <c r="BH135" s="753"/>
      <c r="BI135" s="753"/>
      <c r="BJ135" s="753"/>
      <c r="BK135" s="753"/>
      <c r="BL135" s="753"/>
      <c r="BM135" s="753"/>
      <c r="BN135" s="753"/>
      <c r="BO135" s="753"/>
      <c r="BP135" s="753"/>
      <c r="BQ135" s="753"/>
      <c r="BR135" s="753"/>
      <c r="BS135" s="753"/>
      <c r="BT135" s="753"/>
      <c r="BU135" s="753"/>
      <c r="BV135" s="753"/>
      <c r="BW135" s="753"/>
      <c r="BX135" s="753"/>
      <c r="BY135" s="753"/>
      <c r="BZ135" s="753"/>
      <c r="CA135" s="753"/>
      <c r="CB135" s="753"/>
      <c r="CC135" s="753"/>
      <c r="CD135" s="753"/>
      <c r="CE135" s="753"/>
      <c r="CF135" s="753"/>
      <c r="CG135" s="753"/>
      <c r="CH135" s="753"/>
      <c r="CI135" s="753"/>
      <c r="CJ135" s="753"/>
      <c r="CK135" s="753"/>
      <c r="CL135" s="753"/>
      <c r="CM135" s="753"/>
      <c r="CN135" s="753"/>
      <c r="CO135" s="753"/>
      <c r="CP135" s="753"/>
      <c r="CQ135" s="753"/>
      <c r="CR135" s="753"/>
      <c r="CS135" s="753"/>
      <c r="CT135" s="753"/>
      <c r="CU135" s="753"/>
      <c r="CV135" s="753"/>
      <c r="CW135" s="753"/>
      <c r="CX135" s="753"/>
      <c r="CY135" s="753"/>
      <c r="CZ135" s="753"/>
      <c r="DA135" s="753"/>
      <c r="DB135" s="753"/>
      <c r="DC135" s="753"/>
      <c r="DD135" s="753"/>
      <c r="DE135" s="753"/>
      <c r="DF135" s="753"/>
      <c r="DG135" s="753"/>
      <c r="DH135" s="753"/>
      <c r="DI135" s="753"/>
      <c r="DJ135" s="753"/>
      <c r="DK135" s="753"/>
      <c r="DL135" s="753"/>
      <c r="DM135" s="753"/>
      <c r="DN135" s="753"/>
      <c r="DO135" s="753"/>
      <c r="DP135" s="753"/>
    </row>
    <row r="136" spans="14:120" x14ac:dyDescent="0.25">
      <c r="N136" s="753"/>
      <c r="U136" s="753"/>
      <c r="V136" s="753"/>
      <c r="W136" s="753"/>
      <c r="X136" s="753"/>
      <c r="Y136" s="753"/>
      <c r="Z136" s="753"/>
      <c r="AA136" s="753"/>
      <c r="AB136" s="753"/>
      <c r="AC136" s="753"/>
      <c r="AD136" s="753"/>
      <c r="AE136" s="753"/>
      <c r="AF136" s="753"/>
      <c r="AG136" s="753"/>
      <c r="AH136" s="753"/>
      <c r="AI136" s="753"/>
      <c r="AJ136" s="753"/>
      <c r="AK136" s="753"/>
      <c r="AL136" s="753"/>
      <c r="AM136" s="753"/>
      <c r="AN136" s="753"/>
      <c r="AO136" s="753"/>
      <c r="AP136" s="753"/>
      <c r="AQ136" s="753"/>
      <c r="AR136" s="753"/>
      <c r="AS136" s="753"/>
      <c r="AT136" s="753"/>
      <c r="AU136" s="753"/>
      <c r="AV136" s="753"/>
      <c r="AW136" s="753"/>
      <c r="AX136" s="753"/>
      <c r="AY136" s="753"/>
      <c r="AZ136" s="753"/>
      <c r="BA136" s="753"/>
      <c r="BB136" s="753"/>
      <c r="BC136" s="753"/>
      <c r="BD136" s="753"/>
      <c r="BE136" s="753"/>
      <c r="BF136" s="753"/>
      <c r="BG136" s="753"/>
      <c r="BH136" s="753"/>
      <c r="BI136" s="753"/>
      <c r="BJ136" s="753"/>
      <c r="BK136" s="753"/>
      <c r="BL136" s="753"/>
      <c r="BM136" s="753"/>
      <c r="BN136" s="753"/>
      <c r="BO136" s="753"/>
      <c r="BP136" s="753"/>
      <c r="BQ136" s="753"/>
      <c r="BR136" s="753"/>
      <c r="BS136" s="753"/>
      <c r="BT136" s="753"/>
      <c r="BU136" s="753"/>
      <c r="BV136" s="753"/>
      <c r="BW136" s="753"/>
      <c r="BX136" s="753"/>
      <c r="BY136" s="753"/>
      <c r="BZ136" s="753"/>
      <c r="CA136" s="753"/>
      <c r="CB136" s="753"/>
      <c r="CC136" s="753"/>
      <c r="CD136" s="753"/>
      <c r="CE136" s="753"/>
      <c r="CF136" s="753"/>
      <c r="CG136" s="753"/>
      <c r="CH136" s="753"/>
      <c r="CI136" s="753"/>
      <c r="CJ136" s="753"/>
      <c r="CK136" s="753"/>
      <c r="CL136" s="753"/>
      <c r="CM136" s="753"/>
      <c r="CN136" s="753"/>
      <c r="CO136" s="753"/>
      <c r="CP136" s="753"/>
      <c r="CQ136" s="753"/>
      <c r="CR136" s="753"/>
      <c r="CS136" s="753"/>
      <c r="CT136" s="753"/>
      <c r="CU136" s="753"/>
      <c r="CV136" s="753"/>
      <c r="CW136" s="753"/>
      <c r="CX136" s="753"/>
      <c r="CY136" s="753"/>
      <c r="CZ136" s="753"/>
      <c r="DA136" s="753"/>
      <c r="DB136" s="753"/>
      <c r="DC136" s="753"/>
      <c r="DD136" s="753"/>
      <c r="DE136" s="753"/>
      <c r="DF136" s="753"/>
      <c r="DG136" s="753"/>
      <c r="DH136" s="753"/>
      <c r="DI136" s="753"/>
      <c r="DJ136" s="753"/>
      <c r="DK136" s="753"/>
      <c r="DL136" s="753"/>
      <c r="DM136" s="753"/>
      <c r="DN136" s="753"/>
      <c r="DO136" s="753"/>
      <c r="DP136" s="753"/>
    </row>
    <row r="137" spans="14:120" x14ac:dyDescent="0.25">
      <c r="N137" s="753"/>
      <c r="U137" s="753"/>
      <c r="V137" s="753"/>
      <c r="W137" s="753"/>
      <c r="X137" s="753"/>
      <c r="Y137" s="753"/>
      <c r="Z137" s="753"/>
      <c r="AA137" s="753"/>
      <c r="AB137" s="753"/>
      <c r="AC137" s="753"/>
      <c r="AD137" s="753"/>
      <c r="AE137" s="753"/>
      <c r="AF137" s="753"/>
      <c r="AG137" s="753"/>
      <c r="AH137" s="753"/>
      <c r="AI137" s="753"/>
      <c r="AJ137" s="753"/>
      <c r="AK137" s="753"/>
      <c r="AL137" s="753"/>
      <c r="AM137" s="753"/>
      <c r="AN137" s="753"/>
      <c r="AO137" s="753"/>
      <c r="AP137" s="753"/>
      <c r="AQ137" s="753"/>
      <c r="AR137" s="753"/>
      <c r="AS137" s="753"/>
      <c r="AT137" s="753"/>
      <c r="AU137" s="753"/>
      <c r="AV137" s="753"/>
      <c r="AW137" s="753"/>
      <c r="AX137" s="753"/>
      <c r="AY137" s="753"/>
      <c r="AZ137" s="753"/>
      <c r="BA137" s="753"/>
      <c r="BB137" s="753"/>
      <c r="BC137" s="753"/>
      <c r="BD137" s="753"/>
      <c r="BE137" s="753"/>
      <c r="BF137" s="753"/>
      <c r="BG137" s="753"/>
      <c r="BH137" s="753"/>
      <c r="BI137" s="753"/>
      <c r="BJ137" s="753"/>
      <c r="BK137" s="753"/>
      <c r="BL137" s="753"/>
      <c r="BM137" s="753"/>
      <c r="BN137" s="753"/>
      <c r="BO137" s="753"/>
      <c r="BP137" s="753"/>
      <c r="BQ137" s="753"/>
      <c r="BR137" s="753"/>
      <c r="BS137" s="753"/>
      <c r="BT137" s="753"/>
      <c r="BU137" s="753"/>
      <c r="BV137" s="753"/>
      <c r="BW137" s="753"/>
      <c r="BX137" s="753"/>
      <c r="BY137" s="753"/>
      <c r="BZ137" s="753"/>
      <c r="CA137" s="753"/>
      <c r="CB137" s="753"/>
      <c r="CC137" s="753"/>
      <c r="CD137" s="753"/>
      <c r="CE137" s="753"/>
      <c r="CF137" s="753"/>
      <c r="CG137" s="753"/>
      <c r="CH137" s="753"/>
      <c r="CI137" s="753"/>
      <c r="CJ137" s="753"/>
      <c r="CK137" s="753"/>
      <c r="CL137" s="753"/>
      <c r="CM137" s="753"/>
      <c r="CN137" s="753"/>
      <c r="CO137" s="753"/>
      <c r="CP137" s="753"/>
      <c r="CQ137" s="753"/>
      <c r="CR137" s="753"/>
      <c r="CS137" s="753"/>
      <c r="CT137" s="753"/>
      <c r="CU137" s="753"/>
      <c r="CV137" s="753"/>
      <c r="CW137" s="753"/>
      <c r="CX137" s="753"/>
      <c r="CY137" s="753"/>
      <c r="CZ137" s="753"/>
      <c r="DA137" s="753"/>
      <c r="DB137" s="753"/>
      <c r="DC137" s="753"/>
      <c r="DD137" s="753"/>
      <c r="DE137" s="753"/>
      <c r="DF137" s="753"/>
      <c r="DG137" s="753"/>
      <c r="DH137" s="753"/>
      <c r="DI137" s="753"/>
      <c r="DJ137" s="753"/>
      <c r="DK137" s="753"/>
      <c r="DL137" s="753"/>
      <c r="DM137" s="753"/>
      <c r="DN137" s="753"/>
      <c r="DO137" s="753"/>
      <c r="DP137" s="753"/>
    </row>
    <row r="138" spans="14:120" x14ac:dyDescent="0.25">
      <c r="N138" s="753"/>
      <c r="U138" s="753"/>
      <c r="V138" s="753"/>
      <c r="W138" s="753"/>
      <c r="X138" s="753"/>
      <c r="Y138" s="753"/>
      <c r="Z138" s="753"/>
      <c r="AA138" s="753"/>
      <c r="AB138" s="753"/>
      <c r="AC138" s="753"/>
      <c r="AD138" s="753"/>
      <c r="AE138" s="753"/>
      <c r="AF138" s="753"/>
      <c r="AG138" s="753"/>
      <c r="AH138" s="753"/>
      <c r="AI138" s="753"/>
      <c r="AJ138" s="753"/>
      <c r="AK138" s="753"/>
      <c r="AL138" s="753"/>
      <c r="AM138" s="753"/>
      <c r="AN138" s="753"/>
      <c r="AO138" s="753"/>
      <c r="AP138" s="753"/>
      <c r="AQ138" s="753"/>
      <c r="AR138" s="753"/>
      <c r="AS138" s="753"/>
      <c r="AT138" s="753"/>
      <c r="AU138" s="753"/>
      <c r="AV138" s="753"/>
      <c r="AW138" s="753"/>
      <c r="AX138" s="753"/>
      <c r="AY138" s="753"/>
      <c r="AZ138" s="753"/>
      <c r="BA138" s="753"/>
      <c r="BB138" s="753"/>
      <c r="BC138" s="753"/>
      <c r="BD138" s="753"/>
      <c r="BE138" s="753"/>
      <c r="BF138" s="753"/>
      <c r="BG138" s="753"/>
      <c r="BH138" s="753"/>
      <c r="BI138" s="753"/>
      <c r="BJ138" s="753"/>
      <c r="BK138" s="753"/>
      <c r="BL138" s="753"/>
      <c r="BM138" s="753"/>
      <c r="BN138" s="753"/>
      <c r="BO138" s="753"/>
      <c r="BP138" s="753"/>
      <c r="BQ138" s="753"/>
      <c r="BR138" s="753"/>
      <c r="BS138" s="753"/>
      <c r="BT138" s="753"/>
      <c r="BU138" s="753"/>
      <c r="BV138" s="753"/>
      <c r="BW138" s="753"/>
      <c r="BX138" s="753"/>
      <c r="BY138" s="753"/>
      <c r="BZ138" s="753"/>
      <c r="CA138" s="753"/>
      <c r="CB138" s="753"/>
      <c r="CC138" s="753"/>
      <c r="CD138" s="753"/>
      <c r="CE138" s="753"/>
      <c r="CF138" s="753"/>
      <c r="CG138" s="753"/>
      <c r="CH138" s="753"/>
      <c r="CI138" s="753"/>
      <c r="CJ138" s="753"/>
      <c r="CK138" s="753"/>
      <c r="CL138" s="753"/>
      <c r="CM138" s="753"/>
      <c r="CN138" s="753"/>
      <c r="CO138" s="753"/>
      <c r="CP138" s="753"/>
      <c r="CQ138" s="753"/>
      <c r="CR138" s="753"/>
      <c r="CS138" s="753"/>
      <c r="CT138" s="753"/>
      <c r="CU138" s="753"/>
      <c r="CV138" s="753"/>
      <c r="CW138" s="753"/>
      <c r="CX138" s="753"/>
      <c r="CY138" s="753"/>
      <c r="CZ138" s="753"/>
      <c r="DA138" s="753"/>
      <c r="DB138" s="753"/>
      <c r="DC138" s="753"/>
      <c r="DD138" s="753"/>
      <c r="DE138" s="753"/>
      <c r="DF138" s="753"/>
      <c r="DG138" s="753"/>
      <c r="DH138" s="753"/>
      <c r="DI138" s="753"/>
      <c r="DJ138" s="753"/>
      <c r="DK138" s="753"/>
      <c r="DL138" s="753"/>
      <c r="DM138" s="753"/>
      <c r="DN138" s="753"/>
      <c r="DO138" s="753"/>
      <c r="DP138" s="753"/>
    </row>
    <row r="139" spans="14:120" x14ac:dyDescent="0.25">
      <c r="N139" s="753"/>
      <c r="U139" s="753"/>
      <c r="V139" s="753"/>
      <c r="W139" s="753"/>
      <c r="X139" s="753"/>
      <c r="Y139" s="753"/>
      <c r="Z139" s="753"/>
      <c r="AA139" s="753"/>
      <c r="AB139" s="753"/>
      <c r="AC139" s="753"/>
      <c r="AD139" s="753"/>
      <c r="AE139" s="753"/>
      <c r="AF139" s="753"/>
      <c r="AG139" s="753"/>
      <c r="AH139" s="753"/>
      <c r="AI139" s="753"/>
      <c r="AJ139" s="753"/>
      <c r="AK139" s="753"/>
      <c r="AL139" s="753"/>
      <c r="AM139" s="753"/>
      <c r="AN139" s="753"/>
      <c r="AO139" s="753"/>
      <c r="AP139" s="753"/>
      <c r="AQ139" s="753"/>
      <c r="AR139" s="753"/>
      <c r="AS139" s="753"/>
      <c r="AT139" s="753"/>
      <c r="AU139" s="753"/>
      <c r="AV139" s="753"/>
      <c r="AW139" s="753"/>
      <c r="AX139" s="753"/>
      <c r="AY139" s="753"/>
      <c r="AZ139" s="753"/>
      <c r="BA139" s="753"/>
      <c r="BB139" s="753"/>
      <c r="BC139" s="753"/>
      <c r="BD139" s="753"/>
      <c r="BE139" s="753"/>
      <c r="BF139" s="753"/>
      <c r="BG139" s="753"/>
      <c r="BH139" s="753"/>
      <c r="BI139" s="753"/>
      <c r="BJ139" s="753"/>
      <c r="BK139" s="753"/>
      <c r="BL139" s="753"/>
      <c r="BM139" s="753"/>
      <c r="BN139" s="753"/>
      <c r="BO139" s="753"/>
      <c r="BP139" s="753"/>
      <c r="BQ139" s="753"/>
      <c r="BR139" s="753"/>
      <c r="BS139" s="753"/>
      <c r="BT139" s="753"/>
      <c r="BU139" s="753"/>
      <c r="BV139" s="753"/>
      <c r="BW139" s="753"/>
      <c r="BX139" s="753"/>
      <c r="BY139" s="753"/>
      <c r="BZ139" s="753"/>
      <c r="CA139" s="753"/>
      <c r="CB139" s="753"/>
      <c r="CC139" s="753"/>
      <c r="CD139" s="753"/>
      <c r="CE139" s="753"/>
      <c r="CF139" s="753"/>
      <c r="CG139" s="753"/>
      <c r="CH139" s="753"/>
      <c r="CI139" s="753"/>
      <c r="CJ139" s="753"/>
      <c r="CK139" s="753"/>
      <c r="CL139" s="753"/>
      <c r="CM139" s="753"/>
      <c r="CN139" s="753"/>
      <c r="CO139" s="753"/>
      <c r="CP139" s="753"/>
      <c r="CQ139" s="753"/>
      <c r="CR139" s="753"/>
      <c r="CS139" s="753"/>
      <c r="CT139" s="753"/>
      <c r="CU139" s="753"/>
      <c r="CV139" s="753"/>
      <c r="CW139" s="753"/>
      <c r="CX139" s="753"/>
      <c r="CY139" s="753"/>
      <c r="CZ139" s="753"/>
      <c r="DA139" s="753"/>
      <c r="DB139" s="753"/>
      <c r="DC139" s="753"/>
      <c r="DD139" s="753"/>
      <c r="DE139" s="753"/>
      <c r="DF139" s="753"/>
      <c r="DG139" s="753"/>
      <c r="DH139" s="753"/>
      <c r="DI139" s="753"/>
      <c r="DJ139" s="753"/>
      <c r="DK139" s="753"/>
      <c r="DL139" s="753"/>
      <c r="DM139" s="753"/>
      <c r="DN139" s="753"/>
      <c r="DO139" s="753"/>
      <c r="DP139" s="753"/>
    </row>
    <row r="140" spans="14:120" x14ac:dyDescent="0.25">
      <c r="N140" s="753"/>
      <c r="U140" s="753"/>
      <c r="V140" s="753"/>
      <c r="W140" s="753"/>
      <c r="X140" s="753"/>
      <c r="Y140" s="753"/>
      <c r="Z140" s="753"/>
      <c r="AA140" s="753"/>
      <c r="AB140" s="753"/>
      <c r="AC140" s="753"/>
      <c r="AD140" s="753"/>
      <c r="AE140" s="753"/>
      <c r="AF140" s="753"/>
      <c r="AG140" s="753"/>
      <c r="AH140" s="753"/>
      <c r="AI140" s="753"/>
      <c r="AJ140" s="753"/>
      <c r="AK140" s="753"/>
      <c r="AL140" s="753"/>
      <c r="AM140" s="753"/>
      <c r="AN140" s="753"/>
      <c r="AO140" s="753"/>
      <c r="AP140" s="753"/>
      <c r="AQ140" s="753"/>
      <c r="AR140" s="753"/>
      <c r="AS140" s="753"/>
      <c r="AT140" s="753"/>
      <c r="AU140" s="753"/>
      <c r="AV140" s="753"/>
      <c r="AW140" s="753"/>
      <c r="AX140" s="753"/>
      <c r="AY140" s="753"/>
      <c r="AZ140" s="753"/>
      <c r="BA140" s="753"/>
      <c r="BB140" s="753"/>
      <c r="BC140" s="753"/>
      <c r="BD140" s="753"/>
      <c r="BE140" s="753"/>
      <c r="BF140" s="753"/>
      <c r="BG140" s="753"/>
      <c r="BH140" s="753"/>
      <c r="BI140" s="753"/>
      <c r="BJ140" s="753"/>
      <c r="BK140" s="753"/>
      <c r="BL140" s="753"/>
      <c r="BM140" s="753"/>
      <c r="BN140" s="753"/>
      <c r="BO140" s="753"/>
      <c r="BP140" s="753"/>
      <c r="BQ140" s="753"/>
      <c r="BR140" s="753"/>
      <c r="BS140" s="753"/>
      <c r="BT140" s="753"/>
      <c r="BU140" s="753"/>
      <c r="BV140" s="753"/>
      <c r="BW140" s="753"/>
      <c r="BX140" s="753"/>
      <c r="BY140" s="753"/>
      <c r="BZ140" s="753"/>
      <c r="CA140" s="753"/>
      <c r="CB140" s="753"/>
      <c r="CC140" s="753"/>
      <c r="CD140" s="753"/>
      <c r="CE140" s="753"/>
      <c r="CF140" s="753"/>
      <c r="CG140" s="753"/>
      <c r="CH140" s="753"/>
      <c r="CI140" s="753"/>
      <c r="CJ140" s="753"/>
      <c r="CK140" s="753"/>
      <c r="CL140" s="753"/>
      <c r="CM140" s="753"/>
      <c r="CN140" s="753"/>
      <c r="CO140" s="753"/>
      <c r="CP140" s="753"/>
      <c r="CQ140" s="753"/>
      <c r="CR140" s="753"/>
      <c r="CS140" s="753"/>
      <c r="CT140" s="753"/>
      <c r="CU140" s="753"/>
      <c r="CV140" s="753"/>
      <c r="CW140" s="753"/>
      <c r="CX140" s="753"/>
      <c r="CY140" s="753"/>
      <c r="CZ140" s="753"/>
      <c r="DA140" s="753"/>
      <c r="DB140" s="753"/>
      <c r="DC140" s="753"/>
      <c r="DD140" s="753"/>
      <c r="DE140" s="753"/>
      <c r="DF140" s="753"/>
      <c r="DG140" s="753"/>
      <c r="DH140" s="753"/>
      <c r="DI140" s="753"/>
      <c r="DJ140" s="753"/>
      <c r="DK140" s="753"/>
      <c r="DL140" s="753"/>
      <c r="DM140" s="753"/>
      <c r="DN140" s="753"/>
      <c r="DO140" s="753"/>
      <c r="DP140" s="753"/>
    </row>
    <row r="141" spans="14:120" x14ac:dyDescent="0.25">
      <c r="N141" s="753"/>
      <c r="U141" s="753"/>
      <c r="V141" s="753"/>
      <c r="W141" s="753"/>
      <c r="X141" s="753"/>
      <c r="Y141" s="753"/>
      <c r="Z141" s="753"/>
      <c r="AA141" s="753"/>
      <c r="AB141" s="753"/>
      <c r="AC141" s="753"/>
      <c r="AD141" s="753"/>
      <c r="AE141" s="753"/>
      <c r="AF141" s="753"/>
      <c r="AG141" s="753"/>
      <c r="AH141" s="753"/>
      <c r="AI141" s="753"/>
      <c r="AJ141" s="753"/>
      <c r="AK141" s="753"/>
      <c r="AL141" s="753"/>
      <c r="AM141" s="753"/>
      <c r="AN141" s="753"/>
      <c r="AO141" s="753"/>
      <c r="AP141" s="753"/>
      <c r="AQ141" s="753"/>
      <c r="AR141" s="753"/>
      <c r="AS141" s="753"/>
      <c r="AT141" s="753"/>
      <c r="AU141" s="753"/>
      <c r="AV141" s="753"/>
      <c r="AW141" s="753"/>
      <c r="AX141" s="753"/>
      <c r="AY141" s="753"/>
      <c r="AZ141" s="753"/>
      <c r="BA141" s="753"/>
      <c r="BB141" s="753"/>
      <c r="BC141" s="753"/>
      <c r="BD141" s="753"/>
      <c r="BE141" s="753"/>
      <c r="BF141" s="753"/>
      <c r="BG141" s="753"/>
      <c r="BH141" s="753"/>
      <c r="BI141" s="753"/>
      <c r="BJ141" s="753"/>
      <c r="BK141" s="753"/>
      <c r="BL141" s="753"/>
      <c r="BM141" s="753"/>
      <c r="BN141" s="753"/>
      <c r="BO141" s="753"/>
      <c r="BP141" s="753"/>
      <c r="BQ141" s="753"/>
      <c r="BR141" s="753"/>
      <c r="BS141" s="753"/>
      <c r="BT141" s="753"/>
      <c r="BU141" s="753"/>
      <c r="BV141" s="753"/>
      <c r="BW141" s="753"/>
      <c r="BX141" s="753"/>
      <c r="BY141" s="753"/>
      <c r="BZ141" s="753"/>
      <c r="CA141" s="753"/>
      <c r="CB141" s="753"/>
      <c r="CC141" s="753"/>
      <c r="CD141" s="753"/>
      <c r="CE141" s="753"/>
      <c r="CF141" s="753"/>
      <c r="CG141" s="753"/>
      <c r="CH141" s="753"/>
      <c r="CI141" s="753"/>
      <c r="CJ141" s="753"/>
      <c r="CK141" s="753"/>
      <c r="CL141" s="753"/>
      <c r="CM141" s="753"/>
      <c r="CN141" s="753"/>
      <c r="CO141" s="753"/>
      <c r="CP141" s="753"/>
      <c r="CQ141" s="753"/>
      <c r="CR141" s="753"/>
      <c r="CS141" s="753"/>
      <c r="CT141" s="753"/>
      <c r="CU141" s="753"/>
      <c r="CV141" s="753"/>
      <c r="CW141" s="753"/>
      <c r="CX141" s="753"/>
      <c r="CY141" s="753"/>
      <c r="CZ141" s="753"/>
      <c r="DA141" s="753"/>
      <c r="DB141" s="753"/>
      <c r="DC141" s="753"/>
      <c r="DD141" s="753"/>
      <c r="DE141" s="753"/>
      <c r="DF141" s="753"/>
      <c r="DG141" s="753"/>
      <c r="DH141" s="753"/>
      <c r="DI141" s="753"/>
      <c r="DJ141" s="753"/>
      <c r="DK141" s="753"/>
      <c r="DL141" s="753"/>
      <c r="DM141" s="753"/>
      <c r="DN141" s="753"/>
      <c r="DO141" s="753"/>
      <c r="DP141" s="753"/>
    </row>
    <row r="142" spans="14:120" x14ac:dyDescent="0.25">
      <c r="N142" s="753"/>
      <c r="U142" s="753"/>
      <c r="V142" s="753"/>
      <c r="W142" s="753"/>
      <c r="X142" s="753"/>
      <c r="Y142" s="753"/>
      <c r="Z142" s="753"/>
      <c r="AA142" s="753"/>
      <c r="AB142" s="753"/>
      <c r="AC142" s="753"/>
      <c r="AD142" s="753"/>
      <c r="AE142" s="753"/>
      <c r="AF142" s="753"/>
      <c r="AG142" s="753"/>
      <c r="AH142" s="753"/>
      <c r="AI142" s="753"/>
      <c r="AJ142" s="753"/>
      <c r="AK142" s="753"/>
      <c r="AL142" s="753"/>
      <c r="AM142" s="753"/>
      <c r="AN142" s="753"/>
      <c r="AO142" s="753"/>
      <c r="AP142" s="753"/>
      <c r="AQ142" s="753"/>
      <c r="AR142" s="753"/>
      <c r="AS142" s="753"/>
      <c r="AT142" s="753"/>
      <c r="AU142" s="753"/>
      <c r="AV142" s="753"/>
      <c r="AW142" s="753"/>
      <c r="AX142" s="753"/>
      <c r="AY142" s="753"/>
      <c r="AZ142" s="753"/>
      <c r="BA142" s="753"/>
      <c r="BB142" s="753"/>
      <c r="BC142" s="753"/>
      <c r="BD142" s="753"/>
      <c r="BE142" s="753"/>
      <c r="BF142" s="753"/>
      <c r="BG142" s="753"/>
      <c r="BH142" s="753"/>
      <c r="BI142" s="753"/>
      <c r="BJ142" s="753"/>
      <c r="BK142" s="753"/>
      <c r="BL142" s="753"/>
      <c r="BM142" s="753"/>
      <c r="BN142" s="753"/>
      <c r="BO142" s="753"/>
      <c r="BP142" s="753"/>
      <c r="BQ142" s="753"/>
      <c r="BR142" s="753"/>
      <c r="BS142" s="753"/>
      <c r="BT142" s="753"/>
      <c r="BU142" s="753"/>
      <c r="BV142" s="753"/>
      <c r="BW142" s="753"/>
      <c r="BX142" s="753"/>
      <c r="BY142" s="753"/>
      <c r="BZ142" s="753"/>
      <c r="CA142" s="753"/>
      <c r="CB142" s="753"/>
      <c r="CC142" s="753"/>
      <c r="CD142" s="753"/>
      <c r="CE142" s="753"/>
      <c r="CF142" s="753"/>
      <c r="CG142" s="753"/>
      <c r="CH142" s="753"/>
      <c r="CI142" s="753"/>
      <c r="CJ142" s="753"/>
      <c r="CK142" s="753"/>
      <c r="CL142" s="753"/>
      <c r="CM142" s="753"/>
      <c r="CN142" s="753"/>
      <c r="CO142" s="753"/>
      <c r="CP142" s="753"/>
      <c r="CQ142" s="753"/>
      <c r="CR142" s="753"/>
      <c r="CS142" s="753"/>
      <c r="CT142" s="753"/>
      <c r="CU142" s="753"/>
      <c r="CV142" s="753"/>
      <c r="CW142" s="753"/>
      <c r="CX142" s="753"/>
      <c r="CY142" s="753"/>
      <c r="CZ142" s="753"/>
      <c r="DA142" s="753"/>
      <c r="DB142" s="753"/>
      <c r="DC142" s="753"/>
      <c r="DD142" s="753"/>
      <c r="DE142" s="753"/>
      <c r="DF142" s="753"/>
      <c r="DG142" s="753"/>
      <c r="DH142" s="753"/>
      <c r="DI142" s="753"/>
      <c r="DJ142" s="753"/>
      <c r="DK142" s="753"/>
      <c r="DL142" s="753"/>
      <c r="DM142" s="753"/>
      <c r="DN142" s="753"/>
      <c r="DO142" s="753"/>
      <c r="DP142" s="753"/>
    </row>
    <row r="143" spans="14:120" x14ac:dyDescent="0.25">
      <c r="N143" s="753"/>
      <c r="U143" s="753"/>
      <c r="V143" s="753"/>
      <c r="W143" s="753"/>
      <c r="X143" s="753"/>
      <c r="Y143" s="753"/>
      <c r="Z143" s="753"/>
      <c r="AA143" s="753"/>
      <c r="AB143" s="753"/>
      <c r="AC143" s="753"/>
      <c r="AD143" s="753"/>
      <c r="AE143" s="753"/>
      <c r="AF143" s="753"/>
      <c r="AG143" s="753"/>
      <c r="AH143" s="753"/>
      <c r="AI143" s="753"/>
      <c r="AJ143" s="753"/>
      <c r="AK143" s="753"/>
      <c r="AL143" s="753"/>
      <c r="AM143" s="753"/>
      <c r="AN143" s="753"/>
      <c r="AO143" s="753"/>
      <c r="AP143" s="753"/>
      <c r="AQ143" s="753"/>
      <c r="AR143" s="753"/>
      <c r="AS143" s="753"/>
      <c r="AT143" s="753"/>
      <c r="AU143" s="753"/>
      <c r="AV143" s="753"/>
      <c r="AW143" s="753"/>
      <c r="AX143" s="753"/>
      <c r="AY143" s="753"/>
      <c r="AZ143" s="753"/>
      <c r="BA143" s="753"/>
      <c r="BB143" s="753"/>
      <c r="BC143" s="753"/>
      <c r="BD143" s="753"/>
      <c r="BE143" s="753"/>
      <c r="BF143" s="753"/>
      <c r="BG143" s="753"/>
      <c r="BH143" s="753"/>
      <c r="BI143" s="753"/>
      <c r="BJ143" s="753"/>
      <c r="BK143" s="753"/>
      <c r="BL143" s="753"/>
      <c r="BM143" s="753"/>
      <c r="BN143" s="753"/>
      <c r="BO143" s="753"/>
      <c r="BP143" s="753"/>
      <c r="BQ143" s="753"/>
      <c r="BR143" s="753"/>
      <c r="BS143" s="753"/>
      <c r="BT143" s="753"/>
      <c r="BU143" s="753"/>
      <c r="BV143" s="753"/>
      <c r="BW143" s="753"/>
      <c r="BX143" s="753"/>
      <c r="BY143" s="753"/>
      <c r="BZ143" s="753"/>
      <c r="CA143" s="753"/>
      <c r="CB143" s="753"/>
      <c r="CC143" s="753"/>
      <c r="CD143" s="753"/>
      <c r="CE143" s="753"/>
      <c r="CF143" s="753"/>
      <c r="CG143" s="753"/>
      <c r="CH143" s="753"/>
      <c r="CI143" s="753"/>
      <c r="CJ143" s="753"/>
      <c r="CK143" s="753"/>
      <c r="CL143" s="753"/>
      <c r="CM143" s="753"/>
      <c r="CN143" s="753"/>
      <c r="CO143" s="753"/>
      <c r="CP143" s="753"/>
      <c r="CQ143" s="753"/>
      <c r="CR143" s="753"/>
      <c r="CS143" s="753"/>
      <c r="CT143" s="753"/>
      <c r="CU143" s="753"/>
      <c r="CV143" s="753"/>
      <c r="CW143" s="753"/>
      <c r="CX143" s="753"/>
      <c r="CY143" s="753"/>
      <c r="CZ143" s="753"/>
      <c r="DA143" s="753"/>
      <c r="DB143" s="753"/>
      <c r="DC143" s="753"/>
      <c r="DD143" s="753"/>
      <c r="DE143" s="753"/>
      <c r="DF143" s="753"/>
      <c r="DG143" s="753"/>
      <c r="DH143" s="753"/>
      <c r="DI143" s="753"/>
      <c r="DJ143" s="753"/>
      <c r="DK143" s="753"/>
      <c r="DL143" s="753"/>
      <c r="DM143" s="753"/>
      <c r="DN143" s="753"/>
      <c r="DO143" s="753"/>
      <c r="DP143" s="753"/>
    </row>
    <row r="144" spans="14:120" x14ac:dyDescent="0.25">
      <c r="N144" s="753"/>
      <c r="U144" s="753"/>
      <c r="V144" s="753"/>
      <c r="W144" s="753"/>
      <c r="X144" s="753"/>
      <c r="Y144" s="753"/>
      <c r="Z144" s="753"/>
      <c r="AA144" s="753"/>
      <c r="AB144" s="753"/>
      <c r="AC144" s="753"/>
      <c r="AD144" s="753"/>
      <c r="AE144" s="753"/>
      <c r="AF144" s="753"/>
      <c r="AG144" s="753"/>
      <c r="AH144" s="753"/>
      <c r="AI144" s="753"/>
      <c r="AJ144" s="753"/>
      <c r="AK144" s="753"/>
      <c r="AL144" s="753"/>
      <c r="AM144" s="753"/>
      <c r="AN144" s="753"/>
      <c r="AO144" s="753"/>
      <c r="AP144" s="753"/>
      <c r="AQ144" s="753"/>
      <c r="AR144" s="753"/>
      <c r="AS144" s="753"/>
      <c r="AT144" s="753"/>
      <c r="AU144" s="753"/>
      <c r="AV144" s="753"/>
      <c r="AW144" s="753"/>
      <c r="AX144" s="753"/>
      <c r="AY144" s="753"/>
      <c r="AZ144" s="753"/>
      <c r="BA144" s="753"/>
      <c r="BB144" s="753"/>
      <c r="BC144" s="753"/>
      <c r="BD144" s="753"/>
      <c r="BE144" s="753"/>
      <c r="BF144" s="753"/>
      <c r="BG144" s="753"/>
      <c r="BH144" s="753"/>
      <c r="BI144" s="753"/>
      <c r="BJ144" s="753"/>
      <c r="BK144" s="753"/>
      <c r="BL144" s="753"/>
      <c r="BM144" s="753"/>
      <c r="BN144" s="753"/>
      <c r="BO144" s="753"/>
      <c r="BP144" s="753"/>
      <c r="BQ144" s="753"/>
      <c r="BR144" s="753"/>
      <c r="BS144" s="753"/>
      <c r="BT144" s="753"/>
      <c r="BU144" s="753"/>
      <c r="BV144" s="753"/>
      <c r="BW144" s="753"/>
      <c r="BX144" s="753"/>
      <c r="BY144" s="753"/>
      <c r="BZ144" s="753"/>
      <c r="CA144" s="753"/>
      <c r="CB144" s="753"/>
      <c r="CC144" s="753"/>
      <c r="CD144" s="753"/>
      <c r="CE144" s="753"/>
      <c r="CF144" s="753"/>
      <c r="CG144" s="753"/>
      <c r="CH144" s="753"/>
      <c r="CI144" s="753"/>
      <c r="CJ144" s="753"/>
      <c r="CK144" s="753"/>
      <c r="CL144" s="753"/>
      <c r="CM144" s="753"/>
      <c r="CN144" s="753"/>
      <c r="CO144" s="753"/>
      <c r="CP144" s="753"/>
      <c r="CQ144" s="753"/>
      <c r="CR144" s="753"/>
      <c r="CS144" s="753"/>
      <c r="CT144" s="753"/>
      <c r="CU144" s="753"/>
      <c r="CV144" s="753"/>
      <c r="CW144" s="753"/>
      <c r="CX144" s="753"/>
      <c r="CY144" s="753"/>
      <c r="CZ144" s="753"/>
      <c r="DA144" s="753"/>
      <c r="DB144" s="753"/>
      <c r="DC144" s="753"/>
      <c r="DD144" s="753"/>
      <c r="DE144" s="753"/>
      <c r="DF144" s="753"/>
      <c r="DG144" s="753"/>
      <c r="DH144" s="753"/>
      <c r="DI144" s="753"/>
      <c r="DJ144" s="753"/>
      <c r="DK144" s="753"/>
      <c r="DL144" s="753"/>
      <c r="DM144" s="753"/>
      <c r="DN144" s="753"/>
      <c r="DO144" s="753"/>
      <c r="DP144" s="753"/>
    </row>
    <row r="145" spans="14:120" x14ac:dyDescent="0.25">
      <c r="N145" s="753"/>
      <c r="U145" s="753"/>
      <c r="V145" s="753"/>
      <c r="W145" s="753"/>
      <c r="X145" s="753"/>
      <c r="Y145" s="753"/>
      <c r="Z145" s="753"/>
      <c r="AA145" s="753"/>
      <c r="AB145" s="753"/>
      <c r="AC145" s="753"/>
      <c r="AD145" s="753"/>
      <c r="AE145" s="753"/>
      <c r="AF145" s="753"/>
      <c r="AG145" s="753"/>
      <c r="AH145" s="753"/>
      <c r="AI145" s="753"/>
      <c r="AJ145" s="753"/>
      <c r="AK145" s="753"/>
      <c r="AL145" s="753"/>
      <c r="AM145" s="753"/>
      <c r="AN145" s="753"/>
      <c r="AO145" s="753"/>
      <c r="AP145" s="753"/>
      <c r="AQ145" s="753"/>
      <c r="AR145" s="753"/>
      <c r="AS145" s="753"/>
      <c r="AT145" s="753"/>
      <c r="AU145" s="753"/>
      <c r="AV145" s="753"/>
      <c r="AW145" s="753"/>
      <c r="AX145" s="753"/>
      <c r="AY145" s="753"/>
      <c r="AZ145" s="753"/>
      <c r="BA145" s="753"/>
      <c r="BB145" s="753"/>
      <c r="BC145" s="753"/>
      <c r="BD145" s="753"/>
      <c r="BE145" s="753"/>
      <c r="BF145" s="753"/>
      <c r="BG145" s="753"/>
      <c r="BH145" s="753"/>
      <c r="BI145" s="753"/>
      <c r="BJ145" s="753"/>
      <c r="BK145" s="753"/>
      <c r="BL145" s="753"/>
      <c r="BM145" s="753"/>
      <c r="BN145" s="753"/>
      <c r="BO145" s="753"/>
      <c r="BP145" s="753"/>
      <c r="BQ145" s="753"/>
      <c r="BR145" s="753"/>
      <c r="BS145" s="753"/>
      <c r="BT145" s="753"/>
      <c r="BU145" s="753"/>
      <c r="BV145" s="753"/>
      <c r="BW145" s="753"/>
      <c r="BX145" s="753"/>
      <c r="BY145" s="753"/>
      <c r="BZ145" s="753"/>
      <c r="CA145" s="753"/>
      <c r="CB145" s="753"/>
      <c r="CC145" s="753"/>
      <c r="CD145" s="753"/>
      <c r="CE145" s="753"/>
      <c r="CF145" s="753"/>
      <c r="CG145" s="753"/>
      <c r="CH145" s="753"/>
      <c r="CI145" s="753"/>
      <c r="CJ145" s="753"/>
      <c r="CK145" s="753"/>
      <c r="CL145" s="753"/>
      <c r="CM145" s="753"/>
      <c r="CN145" s="753"/>
      <c r="CO145" s="753"/>
      <c r="CP145" s="753"/>
      <c r="CQ145" s="753"/>
      <c r="CR145" s="753"/>
      <c r="CS145" s="753"/>
      <c r="CT145" s="753"/>
      <c r="CU145" s="753"/>
      <c r="CV145" s="753"/>
      <c r="CW145" s="753"/>
      <c r="CX145" s="753"/>
      <c r="CY145" s="753"/>
      <c r="CZ145" s="753"/>
      <c r="DA145" s="753"/>
      <c r="DB145" s="753"/>
      <c r="DC145" s="753"/>
      <c r="DD145" s="753"/>
      <c r="DE145" s="753"/>
      <c r="DF145" s="753"/>
      <c r="DG145" s="753"/>
      <c r="DH145" s="753"/>
      <c r="DI145" s="753"/>
      <c r="DJ145" s="753"/>
      <c r="DK145" s="753"/>
      <c r="DL145" s="753"/>
      <c r="DM145" s="753"/>
      <c r="DN145" s="753"/>
      <c r="DO145" s="753"/>
      <c r="DP145" s="753"/>
    </row>
    <row r="146" spans="14:120" x14ac:dyDescent="0.25">
      <c r="N146" s="753"/>
      <c r="U146" s="753"/>
      <c r="V146" s="753"/>
      <c r="W146" s="753"/>
      <c r="X146" s="753"/>
      <c r="Y146" s="753"/>
      <c r="Z146" s="753"/>
      <c r="AA146" s="753"/>
      <c r="AB146" s="753"/>
      <c r="AC146" s="753"/>
      <c r="AD146" s="753"/>
      <c r="AE146" s="753"/>
      <c r="AF146" s="753"/>
      <c r="AG146" s="753"/>
      <c r="AH146" s="753"/>
      <c r="AI146" s="753"/>
      <c r="AJ146" s="753"/>
      <c r="AK146" s="753"/>
      <c r="AL146" s="753"/>
      <c r="AM146" s="753"/>
      <c r="AN146" s="753"/>
      <c r="AO146" s="753"/>
      <c r="AP146" s="753"/>
      <c r="AQ146" s="753"/>
      <c r="AR146" s="753"/>
      <c r="AS146" s="753"/>
      <c r="AT146" s="753"/>
      <c r="AU146" s="753"/>
      <c r="AV146" s="753"/>
      <c r="AW146" s="753"/>
      <c r="AX146" s="753"/>
      <c r="AY146" s="753"/>
      <c r="AZ146" s="753"/>
      <c r="BA146" s="753"/>
      <c r="BB146" s="753"/>
      <c r="BC146" s="753"/>
      <c r="BD146" s="753"/>
      <c r="BE146" s="753"/>
      <c r="BF146" s="753"/>
      <c r="BG146" s="753"/>
      <c r="BH146" s="753"/>
      <c r="BI146" s="753"/>
      <c r="BJ146" s="753"/>
      <c r="BK146" s="753"/>
      <c r="BL146" s="753"/>
      <c r="BM146" s="753"/>
      <c r="BN146" s="753"/>
      <c r="BO146" s="753"/>
      <c r="BP146" s="753"/>
      <c r="BQ146" s="753"/>
      <c r="BR146" s="753"/>
      <c r="BS146" s="753"/>
      <c r="BT146" s="753"/>
      <c r="BU146" s="753"/>
      <c r="BV146" s="753"/>
      <c r="BW146" s="753"/>
      <c r="BX146" s="753"/>
      <c r="BY146" s="753"/>
      <c r="BZ146" s="753"/>
      <c r="CA146" s="753"/>
      <c r="CB146" s="753"/>
      <c r="CC146" s="753"/>
      <c r="CD146" s="753"/>
      <c r="CE146" s="753"/>
      <c r="CF146" s="753"/>
      <c r="CG146" s="753"/>
      <c r="CH146" s="753"/>
      <c r="CI146" s="753"/>
      <c r="CJ146" s="753"/>
      <c r="CK146" s="753"/>
      <c r="CL146" s="753"/>
      <c r="CM146" s="753"/>
      <c r="CN146" s="753"/>
      <c r="CO146" s="753"/>
      <c r="CP146" s="753"/>
      <c r="CQ146" s="753"/>
      <c r="CR146" s="753"/>
      <c r="CS146" s="753"/>
      <c r="CT146" s="753"/>
      <c r="CU146" s="753"/>
      <c r="CV146" s="753"/>
      <c r="CW146" s="753"/>
      <c r="CX146" s="753"/>
      <c r="CY146" s="753"/>
      <c r="CZ146" s="753"/>
      <c r="DA146" s="753"/>
      <c r="DB146" s="753"/>
      <c r="DC146" s="753"/>
      <c r="DD146" s="753"/>
      <c r="DE146" s="753"/>
      <c r="DF146" s="753"/>
      <c r="DG146" s="753"/>
      <c r="DH146" s="753"/>
      <c r="DI146" s="753"/>
      <c r="DJ146" s="753"/>
      <c r="DK146" s="753"/>
      <c r="DL146" s="753"/>
      <c r="DM146" s="753"/>
      <c r="DN146" s="753"/>
      <c r="DO146" s="753"/>
      <c r="DP146" s="753"/>
    </row>
    <row r="147" spans="14:120" x14ac:dyDescent="0.25">
      <c r="N147" s="753"/>
      <c r="U147" s="753"/>
      <c r="V147" s="753"/>
      <c r="W147" s="753"/>
      <c r="X147" s="753"/>
      <c r="Y147" s="753"/>
      <c r="Z147" s="753"/>
      <c r="AA147" s="753"/>
      <c r="AB147" s="753"/>
      <c r="AC147" s="753"/>
      <c r="AD147" s="753"/>
      <c r="AE147" s="753"/>
      <c r="AF147" s="753"/>
      <c r="AG147" s="753"/>
      <c r="AH147" s="753"/>
      <c r="AI147" s="753"/>
      <c r="AJ147" s="753"/>
      <c r="AK147" s="753"/>
      <c r="AL147" s="753"/>
      <c r="AM147" s="753"/>
      <c r="AN147" s="753"/>
      <c r="AO147" s="753"/>
      <c r="AP147" s="753"/>
      <c r="AQ147" s="753"/>
      <c r="AR147" s="753"/>
      <c r="AS147" s="753"/>
      <c r="AT147" s="753"/>
      <c r="AU147" s="753"/>
      <c r="AV147" s="753"/>
      <c r="AW147" s="753"/>
      <c r="AX147" s="753"/>
      <c r="AY147" s="753"/>
      <c r="AZ147" s="753"/>
      <c r="BA147" s="753"/>
      <c r="BB147" s="753"/>
      <c r="BC147" s="753"/>
      <c r="BD147" s="753"/>
      <c r="BE147" s="753"/>
      <c r="BF147" s="753"/>
      <c r="BG147" s="753"/>
      <c r="BH147" s="753"/>
      <c r="BI147" s="753"/>
      <c r="BJ147" s="753"/>
      <c r="BK147" s="753"/>
      <c r="BL147" s="753"/>
      <c r="BM147" s="753"/>
      <c r="BN147" s="753"/>
      <c r="BO147" s="753"/>
      <c r="BP147" s="753"/>
      <c r="BQ147" s="753"/>
      <c r="BR147" s="753"/>
      <c r="BS147" s="753"/>
      <c r="BT147" s="753"/>
      <c r="BU147" s="753"/>
      <c r="BV147" s="753"/>
      <c r="BW147" s="753"/>
      <c r="BX147" s="753"/>
      <c r="BY147" s="753"/>
      <c r="BZ147" s="753"/>
      <c r="CA147" s="753"/>
      <c r="CB147" s="753"/>
      <c r="CC147" s="753"/>
      <c r="CD147" s="753"/>
      <c r="CE147" s="753"/>
      <c r="CF147" s="753"/>
      <c r="CG147" s="753"/>
      <c r="CH147" s="753"/>
      <c r="CI147" s="753"/>
      <c r="CJ147" s="753"/>
      <c r="CK147" s="753"/>
      <c r="CL147" s="753"/>
      <c r="CM147" s="753"/>
      <c r="CN147" s="753"/>
      <c r="CO147" s="753"/>
      <c r="CP147" s="753"/>
      <c r="CQ147" s="753"/>
      <c r="CR147" s="753"/>
      <c r="CS147" s="753"/>
      <c r="CT147" s="753"/>
      <c r="CU147" s="753"/>
      <c r="CV147" s="753"/>
      <c r="CW147" s="753"/>
      <c r="CX147" s="753"/>
      <c r="CY147" s="753"/>
      <c r="CZ147" s="753"/>
      <c r="DA147" s="753"/>
      <c r="DB147" s="753"/>
      <c r="DC147" s="753"/>
      <c r="DD147" s="753"/>
      <c r="DE147" s="753"/>
      <c r="DF147" s="753"/>
      <c r="DG147" s="753"/>
      <c r="DH147" s="753"/>
      <c r="DI147" s="753"/>
      <c r="DJ147" s="753"/>
      <c r="DK147" s="753"/>
      <c r="DL147" s="753"/>
      <c r="DM147" s="753"/>
      <c r="DN147" s="753"/>
      <c r="DO147" s="753"/>
      <c r="DP147" s="753"/>
    </row>
    <row r="148" spans="14:120" x14ac:dyDescent="0.25">
      <c r="N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Q148" s="753"/>
      <c r="AR148" s="753"/>
      <c r="AS148" s="753"/>
      <c r="AT148" s="753"/>
      <c r="AU148" s="753"/>
      <c r="AV148" s="753"/>
      <c r="AW148" s="753"/>
      <c r="AX148" s="753"/>
      <c r="AY148" s="753"/>
      <c r="AZ148" s="753"/>
      <c r="BA148" s="753"/>
      <c r="BB148" s="753"/>
      <c r="BC148" s="753"/>
      <c r="BD148" s="753"/>
      <c r="BE148" s="753"/>
      <c r="BF148" s="753"/>
      <c r="BG148" s="753"/>
      <c r="BH148" s="753"/>
      <c r="BI148" s="753"/>
      <c r="BJ148" s="753"/>
      <c r="BK148" s="753"/>
      <c r="BL148" s="753"/>
      <c r="BM148" s="753"/>
      <c r="BN148" s="753"/>
      <c r="BO148" s="753"/>
      <c r="BP148" s="753"/>
      <c r="BQ148" s="753"/>
      <c r="BR148" s="753"/>
      <c r="BS148" s="753"/>
      <c r="BT148" s="753"/>
      <c r="BU148" s="753"/>
      <c r="BV148" s="753"/>
      <c r="BW148" s="753"/>
      <c r="BX148" s="753"/>
      <c r="BY148" s="753"/>
      <c r="BZ148" s="753"/>
      <c r="CA148" s="753"/>
      <c r="CB148" s="753"/>
      <c r="CC148" s="753"/>
      <c r="CD148" s="753"/>
      <c r="CE148" s="753"/>
      <c r="CF148" s="753"/>
      <c r="CG148" s="753"/>
      <c r="CH148" s="753"/>
      <c r="CI148" s="753"/>
      <c r="CJ148" s="753"/>
      <c r="CK148" s="753"/>
      <c r="CL148" s="753"/>
      <c r="CM148" s="753"/>
      <c r="CN148" s="753"/>
      <c r="CO148" s="753"/>
      <c r="CP148" s="753"/>
      <c r="CQ148" s="753"/>
      <c r="CR148" s="753"/>
      <c r="CS148" s="753"/>
      <c r="CT148" s="753"/>
      <c r="CU148" s="753"/>
      <c r="CV148" s="753"/>
      <c r="CW148" s="753"/>
      <c r="CX148" s="753"/>
      <c r="CY148" s="753"/>
      <c r="CZ148" s="753"/>
      <c r="DA148" s="753"/>
      <c r="DB148" s="753"/>
      <c r="DC148" s="753"/>
      <c r="DD148" s="753"/>
      <c r="DE148" s="753"/>
      <c r="DF148" s="753"/>
      <c r="DG148" s="753"/>
      <c r="DH148" s="753"/>
      <c r="DI148" s="753"/>
      <c r="DJ148" s="753"/>
      <c r="DK148" s="753"/>
      <c r="DL148" s="753"/>
      <c r="DM148" s="753"/>
      <c r="DN148" s="753"/>
      <c r="DO148" s="753"/>
      <c r="DP148" s="753"/>
    </row>
    <row r="149" spans="14:120" x14ac:dyDescent="0.25">
      <c r="N149" s="753"/>
      <c r="U149" s="753"/>
      <c r="V149" s="753"/>
      <c r="W149" s="753"/>
      <c r="X149" s="753"/>
      <c r="Y149" s="753"/>
      <c r="Z149" s="753"/>
      <c r="AA149" s="753"/>
      <c r="AB149" s="753"/>
      <c r="AC149" s="753"/>
      <c r="AD149" s="753"/>
      <c r="AE149" s="753"/>
      <c r="AF149" s="753"/>
      <c r="AG149" s="753"/>
      <c r="AH149" s="753"/>
      <c r="AI149" s="753"/>
      <c r="AJ149" s="753"/>
      <c r="AK149" s="753"/>
      <c r="AL149" s="753"/>
      <c r="AM149" s="753"/>
      <c r="AN149" s="753"/>
      <c r="AO149" s="753"/>
      <c r="AP149" s="753"/>
      <c r="AQ149" s="753"/>
      <c r="AR149" s="753"/>
      <c r="AS149" s="753"/>
      <c r="AT149" s="753"/>
      <c r="AU149" s="753"/>
      <c r="AV149" s="753"/>
      <c r="AW149" s="753"/>
      <c r="AX149" s="753"/>
      <c r="AY149" s="753"/>
      <c r="AZ149" s="753"/>
      <c r="BA149" s="753"/>
      <c r="BB149" s="753"/>
      <c r="BC149" s="753"/>
      <c r="BD149" s="753"/>
      <c r="BE149" s="753"/>
      <c r="BF149" s="753"/>
      <c r="BG149" s="753"/>
      <c r="BH149" s="753"/>
      <c r="BI149" s="753"/>
      <c r="BJ149" s="753"/>
      <c r="BK149" s="753"/>
      <c r="BL149" s="753"/>
      <c r="BM149" s="753"/>
      <c r="BN149" s="753"/>
      <c r="BO149" s="753"/>
      <c r="BP149" s="753"/>
      <c r="BQ149" s="753"/>
      <c r="BR149" s="753"/>
      <c r="BS149" s="753"/>
      <c r="BT149" s="753"/>
      <c r="BU149" s="753"/>
      <c r="BV149" s="753"/>
      <c r="BW149" s="753"/>
      <c r="BX149" s="753"/>
      <c r="BY149" s="753"/>
      <c r="BZ149" s="753"/>
      <c r="CA149" s="753"/>
      <c r="CB149" s="753"/>
      <c r="CC149" s="753"/>
      <c r="CD149" s="753"/>
      <c r="CE149" s="753"/>
      <c r="CF149" s="753"/>
      <c r="CG149" s="753"/>
      <c r="CH149" s="753"/>
      <c r="CI149" s="753"/>
      <c r="CJ149" s="753"/>
      <c r="CK149" s="753"/>
      <c r="CL149" s="753"/>
      <c r="CM149" s="753"/>
      <c r="CN149" s="753"/>
      <c r="CO149" s="753"/>
      <c r="CP149" s="753"/>
      <c r="CQ149" s="753"/>
      <c r="CR149" s="753"/>
      <c r="CS149" s="753"/>
      <c r="CT149" s="753"/>
      <c r="CU149" s="753"/>
      <c r="CV149" s="753"/>
      <c r="CW149" s="753"/>
      <c r="CX149" s="753"/>
      <c r="CY149" s="753"/>
      <c r="CZ149" s="753"/>
      <c r="DA149" s="753"/>
      <c r="DB149" s="753"/>
      <c r="DC149" s="753"/>
      <c r="DD149" s="753"/>
      <c r="DE149" s="753"/>
      <c r="DF149" s="753"/>
      <c r="DG149" s="753"/>
      <c r="DH149" s="753"/>
      <c r="DI149" s="753"/>
      <c r="DJ149" s="753"/>
      <c r="DK149" s="753"/>
      <c r="DL149" s="753"/>
      <c r="DM149" s="753"/>
      <c r="DN149" s="753"/>
      <c r="DO149" s="753"/>
      <c r="DP149" s="753"/>
    </row>
    <row r="150" spans="14:120" x14ac:dyDescent="0.25">
      <c r="N150" s="753"/>
      <c r="U150" s="753"/>
      <c r="V150" s="753"/>
      <c r="W150" s="753"/>
      <c r="X150" s="753"/>
      <c r="Y150" s="753"/>
      <c r="Z150" s="753"/>
      <c r="AA150" s="753"/>
      <c r="AB150" s="753"/>
      <c r="AC150" s="753"/>
      <c r="AD150" s="753"/>
      <c r="AE150" s="753"/>
      <c r="AF150" s="753"/>
      <c r="AG150" s="753"/>
      <c r="AH150" s="753"/>
      <c r="AI150" s="753"/>
      <c r="AJ150" s="753"/>
      <c r="AK150" s="753"/>
      <c r="AL150" s="753"/>
      <c r="AM150" s="753"/>
      <c r="AN150" s="753"/>
      <c r="AO150" s="753"/>
      <c r="AP150" s="753"/>
      <c r="AQ150" s="753"/>
      <c r="AR150" s="753"/>
      <c r="AS150" s="753"/>
      <c r="AT150" s="753"/>
      <c r="AU150" s="753"/>
      <c r="AV150" s="753"/>
      <c r="AW150" s="753"/>
      <c r="AX150" s="753"/>
      <c r="AY150" s="753"/>
      <c r="AZ150" s="753"/>
      <c r="BA150" s="753"/>
      <c r="BB150" s="753"/>
      <c r="BC150" s="753"/>
      <c r="BD150" s="753"/>
      <c r="BE150" s="753"/>
      <c r="BF150" s="753"/>
      <c r="BG150" s="753"/>
      <c r="BH150" s="753"/>
      <c r="BI150" s="753"/>
      <c r="BJ150" s="753"/>
      <c r="BK150" s="753"/>
      <c r="BL150" s="753"/>
      <c r="BM150" s="753"/>
      <c r="BN150" s="753"/>
      <c r="BO150" s="753"/>
      <c r="BP150" s="753"/>
      <c r="BQ150" s="753"/>
      <c r="BR150" s="753"/>
      <c r="BS150" s="753"/>
      <c r="BT150" s="753"/>
      <c r="BU150" s="753"/>
      <c r="BV150" s="753"/>
      <c r="BW150" s="753"/>
      <c r="BX150" s="753"/>
      <c r="BY150" s="753"/>
      <c r="BZ150" s="753"/>
      <c r="CA150" s="753"/>
      <c r="CB150" s="753"/>
      <c r="CC150" s="753"/>
      <c r="CD150" s="753"/>
      <c r="CE150" s="753"/>
      <c r="CF150" s="753"/>
      <c r="CG150" s="753"/>
      <c r="CH150" s="753"/>
      <c r="CI150" s="753"/>
      <c r="CJ150" s="753"/>
      <c r="CK150" s="753"/>
      <c r="CL150" s="753"/>
      <c r="CM150" s="753"/>
      <c r="CN150" s="753"/>
      <c r="CO150" s="753"/>
      <c r="CP150" s="753"/>
      <c r="CQ150" s="753"/>
      <c r="CR150" s="753"/>
      <c r="CS150" s="753"/>
      <c r="CT150" s="753"/>
      <c r="CU150" s="753"/>
      <c r="CV150" s="753"/>
      <c r="CW150" s="753"/>
      <c r="CX150" s="753"/>
      <c r="CY150" s="753"/>
      <c r="CZ150" s="753"/>
      <c r="DA150" s="753"/>
      <c r="DB150" s="753"/>
      <c r="DC150" s="753"/>
      <c r="DD150" s="753"/>
      <c r="DE150" s="753"/>
      <c r="DF150" s="753"/>
      <c r="DG150" s="753"/>
      <c r="DH150" s="753"/>
      <c r="DI150" s="753"/>
      <c r="DJ150" s="753"/>
      <c r="DK150" s="753"/>
      <c r="DL150" s="753"/>
      <c r="DM150" s="753"/>
      <c r="DN150" s="753"/>
      <c r="DO150" s="753"/>
      <c r="DP150" s="753"/>
    </row>
    <row r="151" spans="14:120" x14ac:dyDescent="0.25">
      <c r="N151" s="753"/>
      <c r="U151" s="753"/>
      <c r="V151" s="753"/>
      <c r="W151" s="753"/>
      <c r="X151" s="753"/>
      <c r="Y151" s="753"/>
      <c r="Z151" s="753"/>
      <c r="AA151" s="753"/>
      <c r="AB151" s="753"/>
      <c r="AC151" s="753"/>
      <c r="AD151" s="753"/>
      <c r="AE151" s="753"/>
      <c r="AF151" s="753"/>
      <c r="AG151" s="753"/>
      <c r="AH151" s="753"/>
      <c r="AI151" s="753"/>
      <c r="AJ151" s="753"/>
      <c r="AK151" s="753"/>
      <c r="AL151" s="753"/>
      <c r="AM151" s="753"/>
      <c r="AN151" s="753"/>
      <c r="AO151" s="753"/>
      <c r="AP151" s="753"/>
      <c r="AQ151" s="753"/>
      <c r="AR151" s="753"/>
      <c r="AS151" s="753"/>
      <c r="AT151" s="753"/>
      <c r="AU151" s="753"/>
      <c r="AV151" s="753"/>
      <c r="AW151" s="753"/>
      <c r="AX151" s="753"/>
      <c r="AY151" s="753"/>
      <c r="AZ151" s="753"/>
      <c r="BA151" s="753"/>
      <c r="BB151" s="753"/>
      <c r="BC151" s="753"/>
      <c r="BD151" s="753"/>
      <c r="BE151" s="753"/>
      <c r="BF151" s="753"/>
      <c r="BG151" s="753"/>
      <c r="BH151" s="753"/>
      <c r="BI151" s="753"/>
      <c r="BJ151" s="753"/>
      <c r="BK151" s="753"/>
      <c r="BL151" s="753"/>
      <c r="BM151" s="753"/>
      <c r="BN151" s="753"/>
      <c r="BO151" s="753"/>
      <c r="BP151" s="753"/>
      <c r="BQ151" s="753"/>
      <c r="BR151" s="753"/>
      <c r="BS151" s="753"/>
      <c r="BT151" s="753"/>
      <c r="BU151" s="753"/>
      <c r="BV151" s="753"/>
      <c r="BW151" s="753"/>
      <c r="BX151" s="753"/>
      <c r="BY151" s="753"/>
      <c r="BZ151" s="753"/>
      <c r="CA151" s="753"/>
      <c r="CB151" s="753"/>
      <c r="CC151" s="753"/>
      <c r="CD151" s="753"/>
      <c r="CE151" s="753"/>
      <c r="CF151" s="753"/>
      <c r="CG151" s="753"/>
      <c r="CH151" s="753"/>
      <c r="CI151" s="753"/>
      <c r="CJ151" s="753"/>
      <c r="CK151" s="753"/>
      <c r="CL151" s="753"/>
      <c r="CM151" s="753"/>
      <c r="CN151" s="753"/>
      <c r="CO151" s="753"/>
      <c r="CP151" s="753"/>
      <c r="CQ151" s="753"/>
      <c r="CR151" s="753"/>
      <c r="CS151" s="753"/>
      <c r="CT151" s="753"/>
      <c r="CU151" s="753"/>
      <c r="CV151" s="753"/>
      <c r="CW151" s="753"/>
      <c r="CX151" s="753"/>
      <c r="CY151" s="753"/>
      <c r="CZ151" s="753"/>
      <c r="DA151" s="753"/>
      <c r="DB151" s="753"/>
      <c r="DC151" s="753"/>
      <c r="DD151" s="753"/>
      <c r="DE151" s="753"/>
      <c r="DF151" s="753"/>
      <c r="DG151" s="753"/>
      <c r="DH151" s="753"/>
      <c r="DI151" s="753"/>
      <c r="DJ151" s="753"/>
      <c r="DK151" s="753"/>
      <c r="DL151" s="753"/>
      <c r="DM151" s="753"/>
      <c r="DN151" s="753"/>
      <c r="DO151" s="753"/>
      <c r="DP151" s="753"/>
    </row>
    <row r="152" spans="14:120" x14ac:dyDescent="0.25">
      <c r="N152" s="753"/>
      <c r="U152" s="753"/>
      <c r="V152" s="753"/>
      <c r="W152" s="753"/>
      <c r="X152" s="753"/>
      <c r="Y152" s="753"/>
      <c r="Z152" s="753"/>
      <c r="AA152" s="753"/>
      <c r="AB152" s="753"/>
      <c r="AC152" s="753"/>
      <c r="AD152" s="753"/>
      <c r="AE152" s="753"/>
      <c r="AF152" s="753"/>
      <c r="AG152" s="753"/>
      <c r="AH152" s="753"/>
      <c r="AI152" s="753"/>
      <c r="AJ152" s="753"/>
      <c r="AK152" s="753"/>
      <c r="AL152" s="753"/>
      <c r="AM152" s="753"/>
      <c r="AN152" s="753"/>
      <c r="AO152" s="753"/>
      <c r="AP152" s="753"/>
      <c r="AQ152" s="753"/>
      <c r="AR152" s="753"/>
      <c r="AS152" s="753"/>
      <c r="AT152" s="753"/>
      <c r="AU152" s="753"/>
      <c r="AV152" s="753"/>
      <c r="AW152" s="753"/>
      <c r="AX152" s="753"/>
      <c r="AY152" s="753"/>
      <c r="AZ152" s="753"/>
      <c r="BA152" s="753"/>
      <c r="BB152" s="753"/>
      <c r="BC152" s="753"/>
      <c r="BD152" s="753"/>
      <c r="BE152" s="753"/>
      <c r="BF152" s="753"/>
      <c r="BG152" s="753"/>
      <c r="BH152" s="753"/>
      <c r="BI152" s="753"/>
      <c r="BJ152" s="753"/>
      <c r="BK152" s="753"/>
      <c r="BL152" s="753"/>
      <c r="BM152" s="753"/>
      <c r="BN152" s="753"/>
      <c r="BO152" s="753"/>
      <c r="BP152" s="753"/>
      <c r="BQ152" s="753"/>
      <c r="BR152" s="753"/>
      <c r="BS152" s="753"/>
      <c r="BT152" s="753"/>
      <c r="BU152" s="753"/>
      <c r="BV152" s="753"/>
      <c r="BW152" s="753"/>
      <c r="BX152" s="753"/>
      <c r="BY152" s="753"/>
      <c r="BZ152" s="753"/>
      <c r="CA152" s="753"/>
      <c r="CB152" s="753"/>
      <c r="CC152" s="753"/>
      <c r="CD152" s="753"/>
      <c r="CE152" s="753"/>
      <c r="CF152" s="753"/>
      <c r="CG152" s="753"/>
      <c r="CH152" s="753"/>
      <c r="CI152" s="753"/>
      <c r="CJ152" s="753"/>
      <c r="CK152" s="753"/>
      <c r="CL152" s="753"/>
      <c r="CM152" s="753"/>
      <c r="CN152" s="753"/>
      <c r="CO152" s="753"/>
      <c r="CP152" s="753"/>
      <c r="CQ152" s="753"/>
      <c r="CR152" s="753"/>
      <c r="CS152" s="753"/>
      <c r="CT152" s="753"/>
      <c r="CU152" s="753"/>
      <c r="CV152" s="753"/>
      <c r="CW152" s="753"/>
      <c r="CX152" s="753"/>
      <c r="CY152" s="753"/>
      <c r="CZ152" s="753"/>
      <c r="DA152" s="753"/>
      <c r="DB152" s="753"/>
      <c r="DC152" s="753"/>
      <c r="DD152" s="753"/>
      <c r="DE152" s="753"/>
      <c r="DF152" s="753"/>
      <c r="DG152" s="753"/>
      <c r="DH152" s="753"/>
      <c r="DI152" s="753"/>
      <c r="DJ152" s="753"/>
      <c r="DK152" s="753"/>
      <c r="DL152" s="753"/>
      <c r="DM152" s="753"/>
      <c r="DN152" s="753"/>
      <c r="DO152" s="753"/>
      <c r="DP152" s="753"/>
    </row>
    <row r="153" spans="14:120" x14ac:dyDescent="0.25">
      <c r="N153" s="753"/>
      <c r="U153" s="753"/>
      <c r="V153" s="753"/>
      <c r="W153" s="753"/>
      <c r="X153" s="753"/>
      <c r="Y153" s="753"/>
      <c r="Z153" s="753"/>
      <c r="AA153" s="753"/>
      <c r="AB153" s="753"/>
      <c r="AC153" s="753"/>
      <c r="AD153" s="753"/>
      <c r="AE153" s="753"/>
      <c r="AF153" s="753"/>
      <c r="AG153" s="753"/>
      <c r="AH153" s="753"/>
      <c r="AI153" s="753"/>
      <c r="AJ153" s="753"/>
      <c r="AK153" s="753"/>
      <c r="AL153" s="753"/>
      <c r="AM153" s="753"/>
      <c r="AN153" s="753"/>
      <c r="AO153" s="753"/>
      <c r="AP153" s="753"/>
      <c r="AQ153" s="753"/>
      <c r="AR153" s="753"/>
      <c r="AS153" s="753"/>
      <c r="AT153" s="753"/>
      <c r="AU153" s="753"/>
      <c r="AV153" s="753"/>
      <c r="AW153" s="753"/>
      <c r="AX153" s="753"/>
      <c r="AY153" s="753"/>
      <c r="AZ153" s="753"/>
      <c r="BA153" s="753"/>
      <c r="BB153" s="753"/>
      <c r="BC153" s="753"/>
      <c r="BD153" s="753"/>
      <c r="BE153" s="753"/>
      <c r="BF153" s="753"/>
      <c r="BG153" s="753"/>
      <c r="BH153" s="753"/>
      <c r="BI153" s="753"/>
      <c r="BJ153" s="753"/>
      <c r="BK153" s="753"/>
      <c r="BL153" s="753"/>
      <c r="BM153" s="753"/>
      <c r="BN153" s="753"/>
      <c r="BO153" s="753"/>
      <c r="BP153" s="753"/>
      <c r="BQ153" s="753"/>
      <c r="BR153" s="753"/>
      <c r="BS153" s="753"/>
      <c r="BT153" s="753"/>
      <c r="BU153" s="753"/>
      <c r="BV153" s="753"/>
      <c r="BW153" s="753"/>
      <c r="BX153" s="753"/>
      <c r="BY153" s="753"/>
      <c r="BZ153" s="753"/>
      <c r="CA153" s="753"/>
      <c r="CB153" s="753"/>
      <c r="CC153" s="753"/>
      <c r="CD153" s="753"/>
      <c r="CE153" s="753"/>
      <c r="CF153" s="753"/>
      <c r="CG153" s="753"/>
      <c r="CH153" s="753"/>
      <c r="CI153" s="753"/>
      <c r="CJ153" s="753"/>
      <c r="CK153" s="753"/>
      <c r="CL153" s="753"/>
      <c r="CM153" s="753"/>
      <c r="CN153" s="753"/>
      <c r="CO153" s="753"/>
      <c r="CP153" s="753"/>
      <c r="CQ153" s="753"/>
      <c r="CR153" s="753"/>
      <c r="CS153" s="753"/>
      <c r="CT153" s="753"/>
      <c r="CU153" s="753"/>
      <c r="CV153" s="753"/>
      <c r="CW153" s="753"/>
      <c r="CX153" s="753"/>
      <c r="CY153" s="753"/>
      <c r="CZ153" s="753"/>
      <c r="DA153" s="753"/>
      <c r="DB153" s="753"/>
      <c r="DC153" s="753"/>
      <c r="DD153" s="753"/>
      <c r="DE153" s="753"/>
      <c r="DF153" s="753"/>
      <c r="DG153" s="753"/>
      <c r="DH153" s="753"/>
      <c r="DI153" s="753"/>
      <c r="DJ153" s="753"/>
      <c r="DK153" s="753"/>
      <c r="DL153" s="753"/>
      <c r="DM153" s="753"/>
      <c r="DN153" s="753"/>
      <c r="DO153" s="753"/>
      <c r="DP153" s="753"/>
    </row>
    <row r="154" spans="14:120" x14ac:dyDescent="0.25">
      <c r="N154" s="753"/>
      <c r="U154" s="753"/>
      <c r="V154" s="753"/>
      <c r="W154" s="753"/>
      <c r="X154" s="753"/>
      <c r="Y154" s="753"/>
      <c r="Z154" s="753"/>
      <c r="AA154" s="753"/>
      <c r="AB154" s="753"/>
      <c r="AC154" s="753"/>
      <c r="AD154" s="753"/>
      <c r="AE154" s="753"/>
      <c r="AF154" s="753"/>
      <c r="AG154" s="753"/>
      <c r="AH154" s="753"/>
      <c r="AI154" s="753"/>
      <c r="AJ154" s="753"/>
      <c r="AK154" s="753"/>
      <c r="AL154" s="753"/>
      <c r="AM154" s="753"/>
      <c r="AN154" s="753"/>
      <c r="AO154" s="753"/>
      <c r="AP154" s="753"/>
      <c r="AQ154" s="753"/>
      <c r="AR154" s="753"/>
      <c r="AS154" s="753"/>
      <c r="AT154" s="753"/>
      <c r="AU154" s="753"/>
      <c r="AV154" s="753"/>
      <c r="AW154" s="753"/>
      <c r="AX154" s="753"/>
      <c r="AY154" s="753"/>
      <c r="AZ154" s="753"/>
      <c r="BA154" s="753"/>
      <c r="BB154" s="753"/>
      <c r="BC154" s="753"/>
      <c r="BD154" s="753"/>
      <c r="BE154" s="753"/>
      <c r="BF154" s="753"/>
      <c r="BG154" s="753"/>
      <c r="BH154" s="753"/>
      <c r="BI154" s="753"/>
      <c r="BJ154" s="753"/>
      <c r="BK154" s="753"/>
      <c r="BL154" s="753"/>
      <c r="BM154" s="753"/>
      <c r="BN154" s="753"/>
      <c r="BO154" s="753"/>
      <c r="BP154" s="753"/>
      <c r="BQ154" s="753"/>
      <c r="BR154" s="753"/>
      <c r="BS154" s="753"/>
      <c r="BT154" s="753"/>
      <c r="BU154" s="753"/>
      <c r="BV154" s="753"/>
      <c r="BW154" s="753"/>
      <c r="BX154" s="753"/>
      <c r="BY154" s="753"/>
      <c r="BZ154" s="753"/>
      <c r="CA154" s="753"/>
      <c r="CB154" s="753"/>
      <c r="CC154" s="753"/>
      <c r="CD154" s="753"/>
      <c r="CE154" s="753"/>
      <c r="CF154" s="753"/>
      <c r="CG154" s="753"/>
      <c r="CH154" s="753"/>
      <c r="CI154" s="753"/>
      <c r="CJ154" s="753"/>
      <c r="CK154" s="753"/>
      <c r="CL154" s="753"/>
      <c r="CM154" s="753"/>
      <c r="CN154" s="753"/>
      <c r="CO154" s="753"/>
      <c r="CP154" s="753"/>
      <c r="CQ154" s="753"/>
      <c r="CR154" s="753"/>
      <c r="CS154" s="753"/>
      <c r="CT154" s="753"/>
      <c r="CU154" s="753"/>
      <c r="CV154" s="753"/>
      <c r="CW154" s="753"/>
      <c r="CX154" s="753"/>
      <c r="CY154" s="753"/>
      <c r="CZ154" s="753"/>
      <c r="DA154" s="753"/>
      <c r="DB154" s="753"/>
      <c r="DC154" s="753"/>
      <c r="DD154" s="753"/>
      <c r="DE154" s="753"/>
      <c r="DF154" s="753"/>
      <c r="DG154" s="753"/>
      <c r="DH154" s="753"/>
      <c r="DI154" s="753"/>
      <c r="DJ154" s="753"/>
      <c r="DK154" s="753"/>
      <c r="DL154" s="753"/>
      <c r="DM154" s="753"/>
      <c r="DN154" s="753"/>
      <c r="DO154" s="753"/>
      <c r="DP154" s="753"/>
    </row>
    <row r="155" spans="14:120" x14ac:dyDescent="0.25">
      <c r="N155" s="753"/>
      <c r="U155" s="753"/>
      <c r="V155" s="753"/>
      <c r="W155" s="753"/>
      <c r="X155" s="753"/>
      <c r="Y155" s="753"/>
      <c r="Z155" s="753"/>
      <c r="AA155" s="753"/>
      <c r="AB155" s="753"/>
      <c r="AC155" s="753"/>
      <c r="AD155" s="753"/>
      <c r="AE155" s="753"/>
      <c r="AF155" s="753"/>
      <c r="AG155" s="753"/>
      <c r="AH155" s="753"/>
      <c r="AI155" s="753"/>
      <c r="AJ155" s="753"/>
      <c r="AK155" s="753"/>
      <c r="AL155" s="753"/>
      <c r="AM155" s="753"/>
      <c r="AN155" s="753"/>
      <c r="AO155" s="753"/>
      <c r="AP155" s="753"/>
      <c r="AQ155" s="753"/>
      <c r="AR155" s="753"/>
      <c r="AS155" s="753"/>
      <c r="AT155" s="753"/>
      <c r="AU155" s="753"/>
      <c r="AV155" s="753"/>
      <c r="AW155" s="753"/>
      <c r="AX155" s="753"/>
      <c r="AY155" s="753"/>
      <c r="AZ155" s="753"/>
      <c r="BA155" s="753"/>
      <c r="BB155" s="753"/>
      <c r="BC155" s="753"/>
      <c r="BD155" s="753"/>
      <c r="BE155" s="753"/>
      <c r="BF155" s="753"/>
      <c r="BG155" s="753"/>
      <c r="BH155" s="753"/>
      <c r="BI155" s="753"/>
      <c r="BJ155" s="753"/>
      <c r="BK155" s="753"/>
      <c r="BL155" s="753"/>
      <c r="BM155" s="753"/>
      <c r="BN155" s="753"/>
      <c r="BO155" s="753"/>
      <c r="BP155" s="753"/>
      <c r="BQ155" s="753"/>
      <c r="BR155" s="753"/>
      <c r="BS155" s="753"/>
      <c r="BT155" s="753"/>
      <c r="BU155" s="753"/>
      <c r="BV155" s="753"/>
      <c r="BW155" s="753"/>
      <c r="BX155" s="753"/>
      <c r="BY155" s="753"/>
      <c r="BZ155" s="753"/>
      <c r="CA155" s="753"/>
      <c r="CB155" s="753"/>
      <c r="CC155" s="753"/>
      <c r="CD155" s="753"/>
      <c r="CE155" s="753"/>
      <c r="CF155" s="753"/>
      <c r="CG155" s="753"/>
      <c r="CH155" s="753"/>
      <c r="CI155" s="753"/>
      <c r="CJ155" s="753"/>
      <c r="CK155" s="753"/>
      <c r="CL155" s="753"/>
      <c r="CM155" s="753"/>
      <c r="CN155" s="753"/>
      <c r="CO155" s="753"/>
      <c r="CP155" s="753"/>
      <c r="CQ155" s="753"/>
      <c r="CR155" s="753"/>
      <c r="CS155" s="753"/>
      <c r="CT155" s="753"/>
      <c r="CU155" s="753"/>
      <c r="CV155" s="753"/>
      <c r="CW155" s="753"/>
      <c r="CX155" s="753"/>
      <c r="CY155" s="753"/>
      <c r="CZ155" s="753"/>
      <c r="DA155" s="753"/>
      <c r="DB155" s="753"/>
      <c r="DC155" s="753"/>
      <c r="DD155" s="753"/>
      <c r="DE155" s="753"/>
      <c r="DF155" s="753"/>
      <c r="DG155" s="753"/>
      <c r="DH155" s="753"/>
      <c r="DI155" s="753"/>
      <c r="DJ155" s="753"/>
      <c r="DK155" s="753"/>
      <c r="DL155" s="753"/>
      <c r="DM155" s="753"/>
      <c r="DN155" s="753"/>
      <c r="DO155" s="753"/>
      <c r="DP155" s="753"/>
    </row>
    <row r="156" spans="14:120" x14ac:dyDescent="0.25">
      <c r="N156" s="753"/>
      <c r="U156" s="753"/>
      <c r="V156" s="753"/>
      <c r="W156" s="753"/>
      <c r="X156" s="753"/>
      <c r="Y156" s="753"/>
      <c r="Z156" s="753"/>
      <c r="AA156" s="753"/>
      <c r="AB156" s="753"/>
      <c r="AC156" s="753"/>
      <c r="AD156" s="753"/>
      <c r="AE156" s="753"/>
      <c r="AF156" s="753"/>
      <c r="AG156" s="753"/>
      <c r="AH156" s="753"/>
      <c r="AI156" s="753"/>
      <c r="AJ156" s="753"/>
      <c r="AK156" s="753"/>
      <c r="AL156" s="753"/>
      <c r="AM156" s="753"/>
      <c r="AN156" s="753"/>
      <c r="AO156" s="753"/>
      <c r="AP156" s="753"/>
      <c r="AQ156" s="753"/>
      <c r="AR156" s="753"/>
      <c r="AS156" s="753"/>
      <c r="AT156" s="753"/>
      <c r="AU156" s="753"/>
      <c r="AV156" s="753"/>
      <c r="AW156" s="753"/>
      <c r="AX156" s="753"/>
      <c r="AY156" s="753"/>
      <c r="AZ156" s="753"/>
      <c r="BA156" s="753"/>
      <c r="BB156" s="753"/>
      <c r="BC156" s="753"/>
      <c r="BD156" s="753"/>
      <c r="BE156" s="753"/>
      <c r="BF156" s="753"/>
      <c r="BG156" s="753"/>
      <c r="BH156" s="753"/>
      <c r="BI156" s="753"/>
      <c r="BJ156" s="753"/>
      <c r="BK156" s="753"/>
      <c r="BL156" s="753"/>
      <c r="BM156" s="753"/>
      <c r="BN156" s="753"/>
      <c r="BO156" s="753"/>
      <c r="BP156" s="753"/>
      <c r="BQ156" s="753"/>
      <c r="BR156" s="753"/>
      <c r="BS156" s="753"/>
      <c r="BT156" s="753"/>
      <c r="BU156" s="753"/>
      <c r="BV156" s="753"/>
      <c r="BW156" s="753"/>
      <c r="BX156" s="753"/>
      <c r="BY156" s="753"/>
      <c r="BZ156" s="753"/>
      <c r="CA156" s="753"/>
      <c r="CB156" s="753"/>
      <c r="CC156" s="753"/>
      <c r="CD156" s="753"/>
      <c r="CE156" s="753"/>
      <c r="CF156" s="753"/>
      <c r="CG156" s="753"/>
      <c r="CH156" s="753"/>
      <c r="CI156" s="753"/>
      <c r="CJ156" s="753"/>
      <c r="CK156" s="753"/>
      <c r="CL156" s="753"/>
      <c r="CM156" s="753"/>
      <c r="CN156" s="753"/>
      <c r="CO156" s="753"/>
      <c r="CP156" s="753"/>
      <c r="CQ156" s="753"/>
      <c r="CR156" s="753"/>
      <c r="CS156" s="753"/>
      <c r="CT156" s="753"/>
      <c r="CU156" s="753"/>
      <c r="CV156" s="753"/>
      <c r="CW156" s="753"/>
      <c r="CX156" s="753"/>
      <c r="CY156" s="753"/>
      <c r="CZ156" s="753"/>
      <c r="DA156" s="753"/>
      <c r="DB156" s="753"/>
      <c r="DC156" s="753"/>
      <c r="DD156" s="753"/>
      <c r="DE156" s="753"/>
      <c r="DF156" s="753"/>
      <c r="DG156" s="753"/>
      <c r="DH156" s="753"/>
      <c r="DI156" s="753"/>
      <c r="DJ156" s="753"/>
      <c r="DK156" s="753"/>
      <c r="DL156" s="753"/>
      <c r="DM156" s="753"/>
      <c r="DN156" s="753"/>
      <c r="DO156" s="753"/>
      <c r="DP156" s="753"/>
    </row>
    <row r="157" spans="14:120" x14ac:dyDescent="0.25">
      <c r="N157" s="753"/>
      <c r="U157" s="753"/>
      <c r="V157" s="753"/>
      <c r="W157" s="753"/>
      <c r="X157" s="753"/>
      <c r="Y157" s="753"/>
      <c r="Z157" s="753"/>
      <c r="AA157" s="753"/>
      <c r="AB157" s="753"/>
      <c r="AC157" s="753"/>
      <c r="AD157" s="753"/>
      <c r="AE157" s="753"/>
      <c r="AF157" s="753"/>
      <c r="AG157" s="753"/>
      <c r="AH157" s="753"/>
      <c r="AI157" s="753"/>
      <c r="AJ157" s="753"/>
      <c r="AK157" s="753"/>
      <c r="AL157" s="753"/>
      <c r="AM157" s="753"/>
      <c r="AN157" s="753"/>
      <c r="AO157" s="753"/>
      <c r="AP157" s="753"/>
      <c r="AQ157" s="753"/>
      <c r="AR157" s="753"/>
      <c r="AS157" s="753"/>
      <c r="AT157" s="753"/>
      <c r="AU157" s="753"/>
      <c r="AV157" s="753"/>
      <c r="AW157" s="753"/>
      <c r="AX157" s="753"/>
      <c r="AY157" s="753"/>
      <c r="AZ157" s="753"/>
      <c r="BA157" s="753"/>
      <c r="BB157" s="753"/>
      <c r="BC157" s="753"/>
      <c r="BD157" s="753"/>
      <c r="BE157" s="753"/>
      <c r="BF157" s="753"/>
      <c r="BG157" s="753"/>
      <c r="BH157" s="753"/>
      <c r="BI157" s="753"/>
      <c r="BJ157" s="753"/>
      <c r="BK157" s="753"/>
      <c r="BL157" s="753"/>
      <c r="BM157" s="753"/>
      <c r="BN157" s="753"/>
      <c r="BO157" s="753"/>
      <c r="BP157" s="753"/>
      <c r="BQ157" s="753"/>
      <c r="BR157" s="753"/>
      <c r="BS157" s="753"/>
      <c r="BT157" s="753"/>
      <c r="BU157" s="753"/>
      <c r="BV157" s="753"/>
      <c r="BW157" s="753"/>
      <c r="BX157" s="753"/>
      <c r="BY157" s="753"/>
      <c r="BZ157" s="753"/>
      <c r="CA157" s="753"/>
      <c r="CB157" s="753"/>
      <c r="CC157" s="753"/>
      <c r="CD157" s="753"/>
      <c r="CE157" s="753"/>
      <c r="CF157" s="753"/>
      <c r="CG157" s="753"/>
      <c r="CH157" s="753"/>
      <c r="CI157" s="753"/>
      <c r="CJ157" s="753"/>
      <c r="CK157" s="753"/>
      <c r="CL157" s="753"/>
      <c r="CM157" s="753"/>
      <c r="CN157" s="753"/>
      <c r="CO157" s="753"/>
      <c r="CP157" s="753"/>
      <c r="CQ157" s="753"/>
      <c r="CR157" s="753"/>
      <c r="CS157" s="753"/>
      <c r="CT157" s="753"/>
      <c r="CU157" s="753"/>
      <c r="CV157" s="753"/>
      <c r="CW157" s="753"/>
      <c r="CX157" s="753"/>
      <c r="CY157" s="753"/>
      <c r="CZ157" s="753"/>
      <c r="DA157" s="753"/>
      <c r="DB157" s="753"/>
      <c r="DC157" s="753"/>
      <c r="DD157" s="753"/>
      <c r="DE157" s="753"/>
      <c r="DF157" s="753"/>
      <c r="DG157" s="753"/>
      <c r="DH157" s="753"/>
      <c r="DI157" s="753"/>
      <c r="DJ157" s="753"/>
      <c r="DK157" s="753"/>
      <c r="DL157" s="753"/>
      <c r="DM157" s="753"/>
      <c r="DN157" s="753"/>
      <c r="DO157" s="753"/>
      <c r="DP157" s="753"/>
    </row>
    <row r="158" spans="14:120" x14ac:dyDescent="0.25">
      <c r="N158" s="753"/>
      <c r="U158" s="753"/>
      <c r="V158" s="753"/>
      <c r="W158" s="753"/>
      <c r="X158" s="753"/>
      <c r="Y158" s="753"/>
      <c r="Z158" s="753"/>
      <c r="AA158" s="753"/>
      <c r="AB158" s="753"/>
      <c r="AC158" s="753"/>
      <c r="AD158" s="753"/>
      <c r="AE158" s="753"/>
      <c r="AF158" s="753"/>
      <c r="AG158" s="753"/>
      <c r="AH158" s="753"/>
      <c r="AI158" s="753"/>
      <c r="AJ158" s="753"/>
      <c r="AK158" s="753"/>
      <c r="AL158" s="753"/>
      <c r="AM158" s="753"/>
      <c r="AN158" s="753"/>
      <c r="AO158" s="753"/>
      <c r="AP158" s="753"/>
      <c r="AQ158" s="753"/>
      <c r="AR158" s="753"/>
      <c r="AS158" s="753"/>
      <c r="AT158" s="753"/>
      <c r="AU158" s="753"/>
      <c r="AV158" s="753"/>
      <c r="AW158" s="753"/>
      <c r="AX158" s="753"/>
      <c r="AY158" s="753"/>
      <c r="AZ158" s="753"/>
      <c r="BA158" s="753"/>
      <c r="BB158" s="753"/>
      <c r="BC158" s="753"/>
      <c r="BD158" s="753"/>
      <c r="BE158" s="753"/>
      <c r="BF158" s="753"/>
      <c r="BG158" s="753"/>
      <c r="BH158" s="753"/>
      <c r="BI158" s="753"/>
      <c r="BJ158" s="753"/>
      <c r="BK158" s="753"/>
      <c r="BL158" s="753"/>
      <c r="BM158" s="753"/>
      <c r="BN158" s="753"/>
      <c r="BO158" s="753"/>
      <c r="BP158" s="753"/>
      <c r="BQ158" s="753"/>
      <c r="BR158" s="753"/>
      <c r="BS158" s="753"/>
      <c r="BT158" s="753"/>
      <c r="BU158" s="753"/>
      <c r="BV158" s="753"/>
      <c r="BW158" s="753"/>
      <c r="BX158" s="753"/>
      <c r="BY158" s="753"/>
      <c r="BZ158" s="753"/>
      <c r="CA158" s="753"/>
      <c r="CB158" s="753"/>
      <c r="CC158" s="753"/>
      <c r="CD158" s="753"/>
      <c r="CE158" s="753"/>
      <c r="CF158" s="753"/>
      <c r="CG158" s="753"/>
      <c r="CH158" s="753"/>
      <c r="CI158" s="753"/>
      <c r="CJ158" s="753"/>
      <c r="CK158" s="753"/>
      <c r="CL158" s="753"/>
      <c r="CM158" s="753"/>
      <c r="CN158" s="753"/>
      <c r="CO158" s="753"/>
      <c r="CP158" s="753"/>
      <c r="CQ158" s="753"/>
      <c r="CR158" s="753"/>
      <c r="CS158" s="753"/>
      <c r="CT158" s="753"/>
      <c r="CU158" s="753"/>
      <c r="CV158" s="753"/>
      <c r="CW158" s="753"/>
      <c r="CX158" s="753"/>
      <c r="CY158" s="753"/>
      <c r="CZ158" s="753"/>
      <c r="DA158" s="753"/>
      <c r="DB158" s="753"/>
      <c r="DC158" s="753"/>
      <c r="DD158" s="753"/>
      <c r="DE158" s="753"/>
      <c r="DF158" s="753"/>
      <c r="DG158" s="753"/>
      <c r="DH158" s="753"/>
      <c r="DI158" s="753"/>
      <c r="DJ158" s="753"/>
      <c r="DK158" s="753"/>
      <c r="DL158" s="753"/>
      <c r="DM158" s="753"/>
      <c r="DN158" s="753"/>
      <c r="DO158" s="753"/>
      <c r="DP158" s="753"/>
    </row>
    <row r="159" spans="14:120" x14ac:dyDescent="0.25">
      <c r="N159" s="753"/>
      <c r="U159" s="753"/>
      <c r="V159" s="753"/>
      <c r="W159" s="753"/>
      <c r="X159" s="753"/>
      <c r="Y159" s="753"/>
      <c r="Z159" s="753"/>
      <c r="AA159" s="753"/>
      <c r="AB159" s="753"/>
      <c r="AC159" s="753"/>
      <c r="AD159" s="753"/>
      <c r="AE159" s="753"/>
      <c r="AF159" s="753"/>
      <c r="AG159" s="753"/>
      <c r="AH159" s="753"/>
      <c r="AI159" s="753"/>
      <c r="AJ159" s="753"/>
      <c r="AK159" s="753"/>
      <c r="AL159" s="753"/>
      <c r="AM159" s="753"/>
      <c r="AN159" s="753"/>
      <c r="AO159" s="753"/>
      <c r="AP159" s="753"/>
      <c r="AQ159" s="753"/>
      <c r="AR159" s="753"/>
      <c r="AS159" s="753"/>
      <c r="AT159" s="753"/>
      <c r="AU159" s="753"/>
      <c r="AV159" s="753"/>
      <c r="AW159" s="753"/>
      <c r="AX159" s="753"/>
      <c r="AY159" s="753"/>
      <c r="AZ159" s="753"/>
      <c r="BA159" s="753"/>
      <c r="BB159" s="753"/>
      <c r="BC159" s="753"/>
      <c r="BD159" s="753"/>
      <c r="BE159" s="753"/>
      <c r="BF159" s="753"/>
      <c r="BG159" s="753"/>
      <c r="BH159" s="753"/>
      <c r="BI159" s="753"/>
      <c r="BJ159" s="753"/>
      <c r="BK159" s="753"/>
      <c r="BL159" s="753"/>
      <c r="BM159" s="753"/>
      <c r="BN159" s="753"/>
      <c r="BO159" s="753"/>
      <c r="BP159" s="753"/>
      <c r="BQ159" s="753"/>
      <c r="BR159" s="753"/>
      <c r="BS159" s="753"/>
      <c r="BT159" s="753"/>
      <c r="BU159" s="753"/>
      <c r="BV159" s="753"/>
      <c r="BW159" s="753"/>
      <c r="BX159" s="753"/>
      <c r="BY159" s="753"/>
      <c r="BZ159" s="753"/>
      <c r="CA159" s="753"/>
      <c r="CB159" s="753"/>
      <c r="CC159" s="753"/>
      <c r="CD159" s="753"/>
      <c r="CE159" s="753"/>
      <c r="CF159" s="753"/>
      <c r="CG159" s="753"/>
      <c r="CH159" s="753"/>
      <c r="CI159" s="753"/>
      <c r="CJ159" s="753"/>
      <c r="CK159" s="753"/>
      <c r="CL159" s="753"/>
      <c r="CM159" s="753"/>
      <c r="CN159" s="753"/>
      <c r="CO159" s="753"/>
      <c r="CP159" s="753"/>
      <c r="CQ159" s="753"/>
      <c r="CR159" s="753"/>
      <c r="CS159" s="753"/>
      <c r="CT159" s="753"/>
      <c r="CU159" s="753"/>
      <c r="CV159" s="753"/>
      <c r="CW159" s="753"/>
      <c r="CX159" s="753"/>
      <c r="CY159" s="753"/>
      <c r="CZ159" s="753"/>
      <c r="DA159" s="753"/>
      <c r="DB159" s="753"/>
      <c r="DC159" s="753"/>
      <c r="DD159" s="753"/>
      <c r="DE159" s="753"/>
      <c r="DF159" s="753"/>
      <c r="DG159" s="753"/>
      <c r="DH159" s="753"/>
      <c r="DI159" s="753"/>
      <c r="DJ159" s="753"/>
      <c r="DK159" s="753"/>
      <c r="DL159" s="753"/>
      <c r="DM159" s="753"/>
      <c r="DN159" s="753"/>
      <c r="DO159" s="753"/>
      <c r="DP159" s="753"/>
    </row>
    <row r="160" spans="14:120" x14ac:dyDescent="0.25">
      <c r="N160" s="753"/>
      <c r="U160" s="753"/>
      <c r="V160" s="753"/>
      <c r="W160" s="753"/>
      <c r="X160" s="753"/>
      <c r="Y160" s="753"/>
      <c r="Z160" s="753"/>
      <c r="AA160" s="753"/>
      <c r="AB160" s="753"/>
      <c r="AC160" s="753"/>
      <c r="AD160" s="753"/>
      <c r="AE160" s="753"/>
      <c r="AF160" s="753"/>
      <c r="AG160" s="753"/>
      <c r="AH160" s="753"/>
      <c r="AI160" s="753"/>
      <c r="AJ160" s="753"/>
      <c r="AK160" s="753"/>
      <c r="AL160" s="753"/>
      <c r="AM160" s="753"/>
      <c r="AN160" s="753"/>
      <c r="AO160" s="753"/>
      <c r="AP160" s="753"/>
      <c r="AQ160" s="753"/>
      <c r="AR160" s="753"/>
      <c r="AS160" s="753"/>
      <c r="AT160" s="753"/>
      <c r="AU160" s="753"/>
      <c r="AV160" s="753"/>
      <c r="AW160" s="753"/>
      <c r="AX160" s="753"/>
      <c r="AY160" s="753"/>
      <c r="AZ160" s="753"/>
      <c r="BA160" s="753"/>
      <c r="BB160" s="753"/>
      <c r="BC160" s="753"/>
      <c r="BD160" s="753"/>
      <c r="BE160" s="753"/>
      <c r="BF160" s="753"/>
      <c r="BG160" s="753"/>
      <c r="BH160" s="753"/>
      <c r="BI160" s="753"/>
      <c r="BJ160" s="753"/>
      <c r="BK160" s="753"/>
      <c r="BL160" s="753"/>
      <c r="BM160" s="753"/>
      <c r="BN160" s="753"/>
      <c r="BO160" s="753"/>
      <c r="BP160" s="753"/>
      <c r="BQ160" s="753"/>
      <c r="BR160" s="753"/>
      <c r="BS160" s="753"/>
      <c r="BT160" s="753"/>
      <c r="BU160" s="753"/>
      <c r="BV160" s="753"/>
      <c r="BW160" s="753"/>
      <c r="BX160" s="753"/>
      <c r="BY160" s="753"/>
      <c r="BZ160" s="753"/>
      <c r="CA160" s="753"/>
      <c r="CB160" s="753"/>
      <c r="CC160" s="753"/>
      <c r="CD160" s="753"/>
      <c r="CE160" s="753"/>
      <c r="CF160" s="753"/>
      <c r="CG160" s="753"/>
      <c r="CH160" s="753"/>
      <c r="CI160" s="753"/>
      <c r="CJ160" s="753"/>
      <c r="CK160" s="753"/>
      <c r="CL160" s="753"/>
      <c r="CM160" s="753"/>
      <c r="CN160" s="753"/>
      <c r="CO160" s="753"/>
      <c r="CP160" s="753"/>
      <c r="CQ160" s="753"/>
      <c r="CR160" s="753"/>
      <c r="CS160" s="753"/>
      <c r="CT160" s="753"/>
      <c r="CU160" s="753"/>
      <c r="CV160" s="753"/>
      <c r="CW160" s="753"/>
      <c r="CX160" s="753"/>
      <c r="CY160" s="753"/>
      <c r="CZ160" s="753"/>
      <c r="DA160" s="753"/>
      <c r="DB160" s="753"/>
      <c r="DC160" s="753"/>
      <c r="DD160" s="753"/>
      <c r="DE160" s="753"/>
      <c r="DF160" s="753"/>
      <c r="DG160" s="753"/>
      <c r="DH160" s="753"/>
      <c r="DI160" s="753"/>
      <c r="DJ160" s="753"/>
      <c r="DK160" s="753"/>
      <c r="DL160" s="753"/>
      <c r="DM160" s="753"/>
      <c r="DN160" s="753"/>
      <c r="DO160" s="753"/>
      <c r="DP160" s="753"/>
    </row>
    <row r="161" spans="14:120" x14ac:dyDescent="0.25">
      <c r="N161" s="753"/>
      <c r="U161" s="753"/>
      <c r="V161" s="753"/>
      <c r="W161" s="753"/>
      <c r="X161" s="753"/>
      <c r="Y161" s="753"/>
      <c r="Z161" s="753"/>
      <c r="AA161" s="753"/>
      <c r="AB161" s="753"/>
      <c r="AC161" s="753"/>
      <c r="AD161" s="753"/>
      <c r="AE161" s="753"/>
      <c r="AF161" s="753"/>
      <c r="AG161" s="753"/>
      <c r="AH161" s="753"/>
      <c r="AI161" s="753"/>
      <c r="AJ161" s="753"/>
      <c r="AK161" s="753"/>
      <c r="AL161" s="753"/>
      <c r="AM161" s="753"/>
      <c r="AN161" s="753"/>
      <c r="AO161" s="753"/>
      <c r="AP161" s="753"/>
      <c r="AQ161" s="753"/>
      <c r="AR161" s="753"/>
      <c r="AS161" s="753"/>
      <c r="AT161" s="753"/>
      <c r="AU161" s="753"/>
      <c r="AV161" s="753"/>
      <c r="AW161" s="753"/>
      <c r="AX161" s="753"/>
      <c r="AY161" s="753"/>
      <c r="AZ161" s="753"/>
      <c r="BA161" s="753"/>
      <c r="BB161" s="753"/>
      <c r="BC161" s="753"/>
      <c r="BD161" s="753"/>
      <c r="BE161" s="753"/>
      <c r="BF161" s="753"/>
      <c r="BG161" s="753"/>
      <c r="BH161" s="753"/>
      <c r="BI161" s="753"/>
      <c r="BJ161" s="753"/>
      <c r="BK161" s="753"/>
      <c r="BL161" s="753"/>
      <c r="BM161" s="753"/>
      <c r="BN161" s="753"/>
      <c r="BO161" s="753"/>
      <c r="BP161" s="753"/>
      <c r="BQ161" s="753"/>
      <c r="BR161" s="753"/>
      <c r="BS161" s="753"/>
      <c r="BT161" s="753"/>
      <c r="BU161" s="753"/>
      <c r="BV161" s="753"/>
      <c r="BW161" s="753"/>
      <c r="BX161" s="753"/>
      <c r="BY161" s="753"/>
      <c r="BZ161" s="753"/>
      <c r="CA161" s="753"/>
      <c r="CB161" s="753"/>
      <c r="CC161" s="753"/>
      <c r="CD161" s="753"/>
      <c r="CE161" s="753"/>
      <c r="CF161" s="753"/>
      <c r="CG161" s="753"/>
      <c r="CH161" s="753"/>
      <c r="CI161" s="753"/>
      <c r="CJ161" s="753"/>
      <c r="CK161" s="753"/>
      <c r="CL161" s="753"/>
      <c r="CM161" s="753"/>
      <c r="CN161" s="753"/>
      <c r="CO161" s="753"/>
      <c r="CP161" s="753"/>
      <c r="CQ161" s="753"/>
      <c r="CR161" s="753"/>
      <c r="CS161" s="753"/>
      <c r="CT161" s="753"/>
      <c r="CU161" s="753"/>
      <c r="CV161" s="753"/>
      <c r="CW161" s="753"/>
      <c r="CX161" s="753"/>
      <c r="CY161" s="753"/>
      <c r="CZ161" s="753"/>
      <c r="DA161" s="753"/>
      <c r="DB161" s="753"/>
      <c r="DC161" s="753"/>
      <c r="DD161" s="753"/>
      <c r="DE161" s="753"/>
      <c r="DF161" s="753"/>
      <c r="DG161" s="753"/>
      <c r="DH161" s="753"/>
      <c r="DI161" s="753"/>
      <c r="DJ161" s="753"/>
      <c r="DK161" s="753"/>
      <c r="DL161" s="753"/>
      <c r="DM161" s="753"/>
      <c r="DN161" s="753"/>
      <c r="DO161" s="753"/>
      <c r="DP161" s="753"/>
    </row>
    <row r="162" spans="14:120" x14ac:dyDescent="0.25">
      <c r="N162" s="753"/>
      <c r="U162" s="753"/>
      <c r="V162" s="753"/>
      <c r="W162" s="753"/>
      <c r="X162" s="753"/>
      <c r="Y162" s="753"/>
      <c r="Z162" s="753"/>
      <c r="AA162" s="753"/>
      <c r="AB162" s="753"/>
      <c r="AC162" s="753"/>
      <c r="AD162" s="753"/>
      <c r="AE162" s="753"/>
      <c r="AF162" s="753"/>
      <c r="AG162" s="753"/>
      <c r="AH162" s="753"/>
      <c r="AI162" s="753"/>
      <c r="AJ162" s="753"/>
      <c r="AK162" s="753"/>
      <c r="AL162" s="753"/>
      <c r="AM162" s="753"/>
      <c r="AN162" s="753"/>
      <c r="AO162" s="753"/>
      <c r="AP162" s="753"/>
      <c r="AQ162" s="753"/>
      <c r="AR162" s="753"/>
      <c r="AS162" s="753"/>
      <c r="AT162" s="753"/>
      <c r="AU162" s="753"/>
      <c r="AV162" s="753"/>
      <c r="AW162" s="753"/>
      <c r="AX162" s="753"/>
      <c r="AY162" s="753"/>
      <c r="AZ162" s="753"/>
      <c r="BA162" s="753"/>
      <c r="BB162" s="753"/>
      <c r="BC162" s="753"/>
      <c r="BD162" s="753"/>
      <c r="BE162" s="753"/>
      <c r="BF162" s="753"/>
      <c r="BG162" s="753"/>
      <c r="BH162" s="753"/>
      <c r="BI162" s="753"/>
      <c r="BJ162" s="753"/>
      <c r="BK162" s="753"/>
      <c r="BL162" s="753"/>
      <c r="BM162" s="753"/>
      <c r="BN162" s="753"/>
      <c r="BO162" s="753"/>
      <c r="BP162" s="753"/>
      <c r="BQ162" s="753"/>
      <c r="BR162" s="753"/>
      <c r="BS162" s="753"/>
      <c r="BT162" s="753"/>
      <c r="BU162" s="753"/>
      <c r="BV162" s="753"/>
      <c r="BW162" s="753"/>
      <c r="BX162" s="753"/>
      <c r="BY162" s="753"/>
      <c r="BZ162" s="753"/>
      <c r="CA162" s="753"/>
      <c r="CB162" s="753"/>
      <c r="CC162" s="753"/>
      <c r="CD162" s="753"/>
      <c r="CE162" s="753"/>
      <c r="CF162" s="753"/>
      <c r="CG162" s="753"/>
      <c r="CH162" s="753"/>
      <c r="CI162" s="753"/>
      <c r="CJ162" s="753"/>
      <c r="CK162" s="753"/>
      <c r="CL162" s="753"/>
      <c r="CM162" s="753"/>
      <c r="CN162" s="753"/>
      <c r="CO162" s="753"/>
      <c r="CP162" s="753"/>
      <c r="CQ162" s="753"/>
      <c r="CR162" s="753"/>
      <c r="CS162" s="753"/>
      <c r="CT162" s="753"/>
      <c r="CU162" s="753"/>
      <c r="CV162" s="753"/>
      <c r="CW162" s="753"/>
      <c r="CX162" s="753"/>
      <c r="CY162" s="753"/>
      <c r="CZ162" s="753"/>
      <c r="DA162" s="753"/>
      <c r="DB162" s="753"/>
      <c r="DC162" s="753"/>
      <c r="DD162" s="753"/>
      <c r="DE162" s="753"/>
      <c r="DF162" s="753"/>
      <c r="DG162" s="753"/>
      <c r="DH162" s="753"/>
      <c r="DI162" s="753"/>
      <c r="DJ162" s="753"/>
      <c r="DK162" s="753"/>
      <c r="DL162" s="753"/>
      <c r="DM162" s="753"/>
      <c r="DN162" s="753"/>
      <c r="DO162" s="753"/>
      <c r="DP162" s="753"/>
    </row>
    <row r="163" spans="14:120" x14ac:dyDescent="0.25">
      <c r="N163" s="753"/>
      <c r="U163" s="753"/>
      <c r="V163" s="753"/>
      <c r="W163" s="753"/>
      <c r="X163" s="753"/>
      <c r="Y163" s="753"/>
      <c r="Z163" s="753"/>
      <c r="AA163" s="753"/>
      <c r="AB163" s="753"/>
      <c r="AC163" s="753"/>
      <c r="AD163" s="753"/>
      <c r="AE163" s="753"/>
      <c r="AF163" s="753"/>
      <c r="AG163" s="753"/>
      <c r="AH163" s="753"/>
      <c r="AI163" s="753"/>
      <c r="AJ163" s="753"/>
      <c r="AK163" s="753"/>
      <c r="AL163" s="753"/>
      <c r="AM163" s="753"/>
      <c r="AN163" s="753"/>
      <c r="AO163" s="753"/>
      <c r="AP163" s="753"/>
      <c r="AQ163" s="753"/>
      <c r="AR163" s="753"/>
      <c r="AS163" s="753"/>
      <c r="AT163" s="753"/>
      <c r="AU163" s="753"/>
      <c r="AV163" s="753"/>
      <c r="AW163" s="753"/>
      <c r="AX163" s="753"/>
      <c r="AY163" s="753"/>
      <c r="AZ163" s="753"/>
      <c r="BA163" s="753"/>
      <c r="BB163" s="753"/>
      <c r="BC163" s="753"/>
      <c r="BD163" s="753"/>
      <c r="BE163" s="753"/>
      <c r="BF163" s="753"/>
      <c r="BG163" s="753"/>
      <c r="BH163" s="753"/>
      <c r="BI163" s="753"/>
      <c r="BJ163" s="753"/>
      <c r="BK163" s="753"/>
      <c r="BL163" s="753"/>
      <c r="BM163" s="753"/>
      <c r="BN163" s="753"/>
      <c r="BO163" s="753"/>
      <c r="BP163" s="753"/>
      <c r="BQ163" s="753"/>
      <c r="BR163" s="753"/>
      <c r="BS163" s="753"/>
      <c r="BT163" s="753"/>
      <c r="BU163" s="753"/>
      <c r="BV163" s="753"/>
      <c r="BW163" s="753"/>
      <c r="BX163" s="753"/>
      <c r="BY163" s="753"/>
      <c r="BZ163" s="753"/>
      <c r="CA163" s="753"/>
      <c r="CB163" s="753"/>
      <c r="CC163" s="753"/>
      <c r="CD163" s="753"/>
      <c r="CE163" s="753"/>
      <c r="CF163" s="753"/>
      <c r="CG163" s="753"/>
      <c r="CH163" s="753"/>
      <c r="CI163" s="753"/>
      <c r="CJ163" s="753"/>
      <c r="CK163" s="753"/>
      <c r="CL163" s="753"/>
      <c r="CM163" s="753"/>
      <c r="CN163" s="753"/>
      <c r="CO163" s="753"/>
      <c r="CP163" s="753"/>
      <c r="CQ163" s="753"/>
      <c r="CR163" s="753"/>
      <c r="CS163" s="753"/>
      <c r="CT163" s="753"/>
      <c r="CU163" s="753"/>
      <c r="CV163" s="753"/>
      <c r="CW163" s="753"/>
      <c r="CX163" s="753"/>
      <c r="CY163" s="753"/>
      <c r="CZ163" s="753"/>
      <c r="DA163" s="753"/>
      <c r="DB163" s="753"/>
      <c r="DC163" s="753"/>
      <c r="DD163" s="753"/>
      <c r="DE163" s="753"/>
      <c r="DF163" s="753"/>
      <c r="DG163" s="753"/>
      <c r="DH163" s="753"/>
      <c r="DI163" s="753"/>
      <c r="DJ163" s="753"/>
      <c r="DK163" s="753"/>
      <c r="DL163" s="753"/>
      <c r="DM163" s="753"/>
      <c r="DN163" s="753"/>
      <c r="DO163" s="753"/>
      <c r="DP163" s="753"/>
    </row>
    <row r="164" spans="14:120" x14ac:dyDescent="0.25">
      <c r="N164" s="753"/>
      <c r="U164" s="753"/>
      <c r="V164" s="753"/>
      <c r="W164" s="753"/>
      <c r="X164" s="753"/>
      <c r="Y164" s="753"/>
      <c r="Z164" s="753"/>
      <c r="AA164" s="753"/>
      <c r="AB164" s="753"/>
      <c r="AC164" s="753"/>
      <c r="AD164" s="753"/>
      <c r="AE164" s="753"/>
      <c r="AF164" s="753"/>
      <c r="AG164" s="753"/>
      <c r="AH164" s="753"/>
      <c r="AI164" s="753"/>
      <c r="AJ164" s="753"/>
      <c r="AK164" s="753"/>
      <c r="AL164" s="753"/>
      <c r="AM164" s="753"/>
      <c r="AN164" s="753"/>
      <c r="AO164" s="753"/>
      <c r="AP164" s="753"/>
      <c r="AQ164" s="753"/>
      <c r="AR164" s="753"/>
      <c r="AS164" s="753"/>
      <c r="AT164" s="753"/>
      <c r="AU164" s="753"/>
      <c r="AV164" s="753"/>
      <c r="AW164" s="753"/>
      <c r="AX164" s="753"/>
      <c r="AY164" s="753"/>
      <c r="AZ164" s="753"/>
      <c r="BA164" s="753"/>
      <c r="BB164" s="753"/>
      <c r="BC164" s="753"/>
      <c r="BD164" s="753"/>
      <c r="BE164" s="753"/>
      <c r="BF164" s="753"/>
      <c r="BG164" s="753"/>
      <c r="BH164" s="753"/>
      <c r="BI164" s="753"/>
      <c r="BJ164" s="753"/>
      <c r="BK164" s="753"/>
      <c r="BL164" s="753"/>
      <c r="BM164" s="753"/>
      <c r="BN164" s="753"/>
      <c r="BO164" s="753"/>
      <c r="BP164" s="753"/>
      <c r="BQ164" s="753"/>
      <c r="BR164" s="753"/>
      <c r="BS164" s="753"/>
      <c r="BT164" s="753"/>
      <c r="BU164" s="753"/>
      <c r="BV164" s="753"/>
      <c r="BW164" s="753"/>
      <c r="BX164" s="753"/>
      <c r="BY164" s="753"/>
      <c r="BZ164" s="753"/>
      <c r="CA164" s="753"/>
      <c r="CB164" s="753"/>
      <c r="CC164" s="753"/>
      <c r="CD164" s="753"/>
      <c r="CE164" s="753"/>
      <c r="CF164" s="753"/>
      <c r="CG164" s="753"/>
      <c r="CH164" s="753"/>
      <c r="CI164" s="753"/>
      <c r="CJ164" s="753"/>
      <c r="CK164" s="753"/>
      <c r="CL164" s="753"/>
      <c r="CM164" s="753"/>
      <c r="CN164" s="753"/>
      <c r="CO164" s="753"/>
      <c r="CP164" s="753"/>
      <c r="CQ164" s="753"/>
      <c r="CR164" s="753"/>
      <c r="CS164" s="753"/>
      <c r="CT164" s="753"/>
      <c r="CU164" s="753"/>
      <c r="CV164" s="753"/>
      <c r="CW164" s="753"/>
      <c r="CX164" s="753"/>
      <c r="CY164" s="753"/>
      <c r="CZ164" s="753"/>
      <c r="DA164" s="753"/>
      <c r="DB164" s="753"/>
      <c r="DC164" s="753"/>
      <c r="DD164" s="753"/>
      <c r="DE164" s="753"/>
      <c r="DF164" s="753"/>
      <c r="DG164" s="753"/>
      <c r="DH164" s="753"/>
      <c r="DI164" s="753"/>
      <c r="DJ164" s="753"/>
      <c r="DK164" s="753"/>
      <c r="DL164" s="753"/>
      <c r="DM164" s="753"/>
      <c r="DN164" s="753"/>
      <c r="DO164" s="753"/>
      <c r="DP164" s="753"/>
    </row>
    <row r="165" spans="14:120" x14ac:dyDescent="0.25">
      <c r="N165" s="753"/>
      <c r="U165" s="753"/>
      <c r="V165" s="753"/>
      <c r="W165" s="753"/>
      <c r="X165" s="753"/>
      <c r="Y165" s="753"/>
      <c r="Z165" s="753"/>
      <c r="AA165" s="753"/>
      <c r="AB165" s="753"/>
      <c r="AC165" s="753"/>
      <c r="AD165" s="753"/>
      <c r="AE165" s="753"/>
      <c r="AF165" s="753"/>
      <c r="AG165" s="753"/>
      <c r="AH165" s="753"/>
      <c r="AI165" s="753"/>
      <c r="AJ165" s="753"/>
      <c r="AK165" s="753"/>
      <c r="AL165" s="753"/>
      <c r="AM165" s="753"/>
      <c r="AN165" s="753"/>
      <c r="AO165" s="753"/>
      <c r="AP165" s="753"/>
      <c r="AQ165" s="753"/>
      <c r="AR165" s="753"/>
      <c r="AS165" s="753"/>
      <c r="AT165" s="753"/>
      <c r="AU165" s="753"/>
      <c r="AV165" s="753"/>
      <c r="AW165" s="753"/>
      <c r="AX165" s="753"/>
      <c r="AY165" s="753"/>
      <c r="AZ165" s="753"/>
      <c r="BA165" s="753"/>
      <c r="BB165" s="753"/>
      <c r="BC165" s="753"/>
      <c r="BD165" s="753"/>
      <c r="BE165" s="753"/>
      <c r="BF165" s="753"/>
      <c r="BG165" s="753"/>
      <c r="BH165" s="753"/>
      <c r="BI165" s="753"/>
      <c r="BJ165" s="753"/>
      <c r="BK165" s="753"/>
      <c r="BL165" s="753"/>
      <c r="BM165" s="753"/>
      <c r="BN165" s="753"/>
      <c r="BO165" s="753"/>
      <c r="BP165" s="753"/>
      <c r="BQ165" s="753"/>
      <c r="BR165" s="753"/>
      <c r="BS165" s="753"/>
      <c r="BT165" s="753"/>
      <c r="BU165" s="753"/>
      <c r="BV165" s="753"/>
      <c r="BW165" s="753"/>
      <c r="BX165" s="753"/>
      <c r="BY165" s="753"/>
      <c r="BZ165" s="753"/>
      <c r="CA165" s="753"/>
      <c r="CB165" s="753"/>
      <c r="CC165" s="753"/>
      <c r="CD165" s="753"/>
      <c r="CE165" s="753"/>
      <c r="CF165" s="753"/>
      <c r="CG165" s="753"/>
      <c r="CH165" s="753"/>
      <c r="CI165" s="753"/>
      <c r="CJ165" s="753"/>
      <c r="CK165" s="753"/>
      <c r="CL165" s="753"/>
      <c r="CM165" s="753"/>
      <c r="CN165" s="753"/>
      <c r="CO165" s="753"/>
      <c r="CP165" s="753"/>
      <c r="CQ165" s="753"/>
      <c r="CR165" s="753"/>
      <c r="CS165" s="753"/>
      <c r="CT165" s="753"/>
      <c r="CU165" s="753"/>
      <c r="CV165" s="753"/>
      <c r="CW165" s="753"/>
      <c r="CX165" s="753"/>
      <c r="CY165" s="753"/>
      <c r="CZ165" s="753"/>
      <c r="DA165" s="753"/>
      <c r="DB165" s="753"/>
      <c r="DC165" s="753"/>
      <c r="DD165" s="753"/>
      <c r="DE165" s="753"/>
      <c r="DF165" s="753"/>
      <c r="DG165" s="753"/>
      <c r="DH165" s="753"/>
      <c r="DI165" s="753"/>
      <c r="DJ165" s="753"/>
      <c r="DK165" s="753"/>
      <c r="DL165" s="753"/>
      <c r="DM165" s="753"/>
      <c r="DN165" s="753"/>
      <c r="DO165" s="753"/>
      <c r="DP165" s="753"/>
    </row>
    <row r="166" spans="14:120" x14ac:dyDescent="0.25">
      <c r="N166" s="753"/>
      <c r="U166" s="753"/>
      <c r="V166" s="753"/>
      <c r="W166" s="753"/>
      <c r="X166" s="753"/>
      <c r="Y166" s="753"/>
      <c r="Z166" s="753"/>
      <c r="AA166" s="753"/>
      <c r="AB166" s="753"/>
      <c r="AC166" s="753"/>
      <c r="AD166" s="753"/>
      <c r="AE166" s="753"/>
      <c r="AF166" s="753"/>
      <c r="AG166" s="753"/>
      <c r="AH166" s="753"/>
      <c r="AI166" s="753"/>
      <c r="AJ166" s="753"/>
      <c r="AK166" s="753"/>
      <c r="AL166" s="753"/>
      <c r="AM166" s="753"/>
      <c r="AN166" s="753"/>
      <c r="AO166" s="753"/>
      <c r="AP166" s="753"/>
      <c r="AQ166" s="753"/>
      <c r="AR166" s="753"/>
      <c r="AS166" s="753"/>
      <c r="AT166" s="753"/>
      <c r="AU166" s="753"/>
      <c r="AV166" s="753"/>
      <c r="AW166" s="753"/>
      <c r="AX166" s="753"/>
      <c r="AY166" s="753"/>
      <c r="AZ166" s="753"/>
      <c r="BA166" s="753"/>
      <c r="BB166" s="753"/>
      <c r="BC166" s="753"/>
      <c r="BD166" s="753"/>
      <c r="BE166" s="753"/>
      <c r="BF166" s="753"/>
      <c r="BG166" s="753"/>
      <c r="BH166" s="753"/>
      <c r="BI166" s="753"/>
      <c r="BJ166" s="753"/>
      <c r="BK166" s="753"/>
      <c r="BL166" s="753"/>
      <c r="BM166" s="753"/>
      <c r="BN166" s="753"/>
      <c r="BO166" s="753"/>
      <c r="BP166" s="753"/>
      <c r="BQ166" s="753"/>
      <c r="BR166" s="753"/>
      <c r="BS166" s="753"/>
      <c r="BT166" s="753"/>
      <c r="BU166" s="753"/>
      <c r="BV166" s="753"/>
      <c r="BW166" s="753"/>
      <c r="BX166" s="753"/>
      <c r="BY166" s="753"/>
      <c r="BZ166" s="753"/>
      <c r="CA166" s="753"/>
      <c r="CB166" s="753"/>
      <c r="CC166" s="753"/>
      <c r="CD166" s="753"/>
      <c r="CE166" s="753"/>
      <c r="CF166" s="753"/>
      <c r="CG166" s="753"/>
      <c r="CH166" s="753"/>
      <c r="CI166" s="753"/>
      <c r="CJ166" s="753"/>
      <c r="CK166" s="753"/>
      <c r="CL166" s="753"/>
      <c r="CM166" s="753"/>
      <c r="CN166" s="753"/>
      <c r="CO166" s="753"/>
      <c r="CP166" s="753"/>
      <c r="CQ166" s="753"/>
      <c r="CR166" s="753"/>
      <c r="CS166" s="753"/>
      <c r="CT166" s="753"/>
      <c r="CU166" s="753"/>
      <c r="CV166" s="753"/>
      <c r="CW166" s="753"/>
      <c r="CX166" s="753"/>
      <c r="CY166" s="753"/>
      <c r="CZ166" s="753"/>
      <c r="DA166" s="753"/>
      <c r="DB166" s="753"/>
      <c r="DC166" s="753"/>
      <c r="DD166" s="753"/>
      <c r="DE166" s="753"/>
      <c r="DF166" s="753"/>
      <c r="DG166" s="753"/>
      <c r="DH166" s="753"/>
      <c r="DI166" s="753"/>
      <c r="DJ166" s="753"/>
      <c r="DK166" s="753"/>
      <c r="DL166" s="753"/>
      <c r="DM166" s="753"/>
      <c r="DN166" s="753"/>
      <c r="DO166" s="753"/>
      <c r="DP166" s="753"/>
    </row>
  </sheetData>
  <mergeCells count="3">
    <mergeCell ref="D70:G70"/>
    <mergeCell ref="I5:K5"/>
    <mergeCell ref="E46:G46"/>
  </mergeCells>
  <pageMargins left="0.7" right="0.45" top="0.25" bottom="0" header="0.3" footer="0"/>
  <pageSetup scale="66"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C81"/>
  <sheetViews>
    <sheetView topLeftCell="A35" zoomScale="70" zoomScaleNormal="70" workbookViewId="0">
      <selection activeCell="G27" sqref="G27"/>
    </sheetView>
  </sheetViews>
  <sheetFormatPr defaultRowHeight="18" x14ac:dyDescent="0.25"/>
  <cols>
    <col min="1" max="1" width="3.5" customWidth="1"/>
    <col min="2" max="2" width="2.875" style="33" customWidth="1"/>
    <col min="3" max="3" width="8.125" style="33" customWidth="1"/>
    <col min="4" max="4" width="8.75" style="33" customWidth="1"/>
    <col min="5" max="5" width="5.75" style="33" customWidth="1"/>
    <col min="6" max="6" width="2.875" style="33" customWidth="1"/>
    <col min="7" max="7" width="44.625" style="33" customWidth="1"/>
    <col min="8" max="8" width="24" style="147" customWidth="1"/>
    <col min="9" max="9" width="24.25" customWidth="1"/>
    <col min="10" max="10" width="1.625" customWidth="1"/>
    <col min="11" max="11" width="25.125" customWidth="1"/>
    <col min="12" max="12" width="23.25" style="253" hidden="1" customWidth="1"/>
    <col min="13" max="13" width="17.25" customWidth="1"/>
    <col min="14" max="14" width="10.75" bestFit="1" customWidth="1"/>
    <col min="15" max="15" width="86" style="760" customWidth="1"/>
    <col min="16" max="16" width="12.625" style="19" hidden="1" customWidth="1"/>
    <col min="17" max="17" width="31.875" style="18" hidden="1" customWidth="1"/>
    <col min="18" max="18" width="17.375" style="8" hidden="1" customWidth="1"/>
    <col min="19" max="19" width="15" style="8" hidden="1" customWidth="1"/>
    <col min="20" max="20" width="9.5" style="8" hidden="1" customWidth="1"/>
    <col min="21" max="23" width="0" style="8" hidden="1" customWidth="1"/>
    <col min="24" max="24" width="11.75" style="8" hidden="1" customWidth="1"/>
    <col min="25" max="27" width="0" style="8" hidden="1" customWidth="1"/>
    <col min="28" max="28" width="19.375" hidden="1" customWidth="1"/>
    <col min="29" max="29" width="13" hidden="1" customWidth="1"/>
    <col min="30" max="34" width="0" hidden="1" customWidth="1"/>
    <col min="242" max="242" width="2.875" customWidth="1"/>
    <col min="243" max="243" width="8.125" customWidth="1"/>
    <col min="244" max="244" width="8.75" customWidth="1"/>
    <col min="245" max="245" width="11" customWidth="1"/>
    <col min="246" max="246" width="2.875" customWidth="1"/>
    <col min="247" max="247" width="77.625" customWidth="1"/>
    <col min="248" max="248" width="20.875" customWidth="1"/>
    <col min="498" max="498" width="2.875" customWidth="1"/>
    <col min="499" max="499" width="8.125" customWidth="1"/>
    <col min="500" max="500" width="8.75" customWidth="1"/>
    <col min="501" max="501" width="11" customWidth="1"/>
    <col min="502" max="502" width="2.875" customWidth="1"/>
    <col min="503" max="503" width="77.625" customWidth="1"/>
    <col min="504" max="504" width="20.875" customWidth="1"/>
    <col min="754" max="754" width="2.875" customWidth="1"/>
    <col min="755" max="755" width="8.125" customWidth="1"/>
    <col min="756" max="756" width="8.75" customWidth="1"/>
    <col min="757" max="757" width="11" customWidth="1"/>
    <col min="758" max="758" width="2.875" customWidth="1"/>
    <col min="759" max="759" width="77.625" customWidth="1"/>
    <col min="760" max="760" width="20.875" customWidth="1"/>
    <col min="1010" max="1010" width="2.875" customWidth="1"/>
    <col min="1011" max="1011" width="8.125" customWidth="1"/>
    <col min="1012" max="1012" width="8.75" customWidth="1"/>
    <col min="1013" max="1013" width="11" customWidth="1"/>
    <col min="1014" max="1014" width="2.875" customWidth="1"/>
    <col min="1015" max="1015" width="77.625" customWidth="1"/>
    <col min="1016" max="1016" width="20.875" customWidth="1"/>
    <col min="1266" max="1266" width="2.875" customWidth="1"/>
    <col min="1267" max="1267" width="8.125" customWidth="1"/>
    <col min="1268" max="1268" width="8.75" customWidth="1"/>
    <col min="1269" max="1269" width="11" customWidth="1"/>
    <col min="1270" max="1270" width="2.875" customWidth="1"/>
    <col min="1271" max="1271" width="77.625" customWidth="1"/>
    <col min="1272" max="1272" width="20.875" customWidth="1"/>
    <col min="1522" max="1522" width="2.875" customWidth="1"/>
    <col min="1523" max="1523" width="8.125" customWidth="1"/>
    <col min="1524" max="1524" width="8.75" customWidth="1"/>
    <col min="1525" max="1525" width="11" customWidth="1"/>
    <col min="1526" max="1526" width="2.875" customWidth="1"/>
    <col min="1527" max="1527" width="77.625" customWidth="1"/>
    <col min="1528" max="1528" width="20.875" customWidth="1"/>
    <col min="1778" max="1778" width="2.875" customWidth="1"/>
    <col min="1779" max="1779" width="8.125" customWidth="1"/>
    <col min="1780" max="1780" width="8.75" customWidth="1"/>
    <col min="1781" max="1781" width="11" customWidth="1"/>
    <col min="1782" max="1782" width="2.875" customWidth="1"/>
    <col min="1783" max="1783" width="77.625" customWidth="1"/>
    <col min="1784" max="1784" width="20.875" customWidth="1"/>
    <col min="2034" max="2034" width="2.875" customWidth="1"/>
    <col min="2035" max="2035" width="8.125" customWidth="1"/>
    <col min="2036" max="2036" width="8.75" customWidth="1"/>
    <col min="2037" max="2037" width="11" customWidth="1"/>
    <col min="2038" max="2038" width="2.875" customWidth="1"/>
    <col min="2039" max="2039" width="77.625" customWidth="1"/>
    <col min="2040" max="2040" width="20.875" customWidth="1"/>
    <col min="2290" max="2290" width="2.875" customWidth="1"/>
    <col min="2291" max="2291" width="8.125" customWidth="1"/>
    <col min="2292" max="2292" width="8.75" customWidth="1"/>
    <col min="2293" max="2293" width="11" customWidth="1"/>
    <col min="2294" max="2294" width="2.875" customWidth="1"/>
    <col min="2295" max="2295" width="77.625" customWidth="1"/>
    <col min="2296" max="2296" width="20.875" customWidth="1"/>
    <col min="2546" max="2546" width="2.875" customWidth="1"/>
    <col min="2547" max="2547" width="8.125" customWidth="1"/>
    <col min="2548" max="2548" width="8.75" customWidth="1"/>
    <col min="2549" max="2549" width="11" customWidth="1"/>
    <col min="2550" max="2550" width="2.875" customWidth="1"/>
    <col min="2551" max="2551" width="77.625" customWidth="1"/>
    <col min="2552" max="2552" width="20.875" customWidth="1"/>
    <col min="2802" max="2802" width="2.875" customWidth="1"/>
    <col min="2803" max="2803" width="8.125" customWidth="1"/>
    <col min="2804" max="2804" width="8.75" customWidth="1"/>
    <col min="2805" max="2805" width="11" customWidth="1"/>
    <col min="2806" max="2806" width="2.875" customWidth="1"/>
    <col min="2807" max="2807" width="77.625" customWidth="1"/>
    <col min="2808" max="2808" width="20.875" customWidth="1"/>
    <col min="3058" max="3058" width="2.875" customWidth="1"/>
    <col min="3059" max="3059" width="8.125" customWidth="1"/>
    <col min="3060" max="3060" width="8.75" customWidth="1"/>
    <col min="3061" max="3061" width="11" customWidth="1"/>
    <col min="3062" max="3062" width="2.875" customWidth="1"/>
    <col min="3063" max="3063" width="77.625" customWidth="1"/>
    <col min="3064" max="3064" width="20.875" customWidth="1"/>
    <col min="3314" max="3314" width="2.875" customWidth="1"/>
    <col min="3315" max="3315" width="8.125" customWidth="1"/>
    <col min="3316" max="3316" width="8.75" customWidth="1"/>
    <col min="3317" max="3317" width="11" customWidth="1"/>
    <col min="3318" max="3318" width="2.875" customWidth="1"/>
    <col min="3319" max="3319" width="77.625" customWidth="1"/>
    <col min="3320" max="3320" width="20.875" customWidth="1"/>
    <col min="3570" max="3570" width="2.875" customWidth="1"/>
    <col min="3571" max="3571" width="8.125" customWidth="1"/>
    <col min="3572" max="3572" width="8.75" customWidth="1"/>
    <col min="3573" max="3573" width="11" customWidth="1"/>
    <col min="3574" max="3574" width="2.875" customWidth="1"/>
    <col min="3575" max="3575" width="77.625" customWidth="1"/>
    <col min="3576" max="3576" width="20.875" customWidth="1"/>
    <col min="3826" max="3826" width="2.875" customWidth="1"/>
    <col min="3827" max="3827" width="8.125" customWidth="1"/>
    <col min="3828" max="3828" width="8.75" customWidth="1"/>
    <col min="3829" max="3829" width="11" customWidth="1"/>
    <col min="3830" max="3830" width="2.875" customWidth="1"/>
    <col min="3831" max="3831" width="77.625" customWidth="1"/>
    <col min="3832" max="3832" width="20.875" customWidth="1"/>
    <col min="4082" max="4082" width="2.875" customWidth="1"/>
    <col min="4083" max="4083" width="8.125" customWidth="1"/>
    <col min="4084" max="4084" width="8.75" customWidth="1"/>
    <col min="4085" max="4085" width="11" customWidth="1"/>
    <col min="4086" max="4086" width="2.875" customWidth="1"/>
    <col min="4087" max="4087" width="77.625" customWidth="1"/>
    <col min="4088" max="4088" width="20.875" customWidth="1"/>
    <col min="4338" max="4338" width="2.875" customWidth="1"/>
    <col min="4339" max="4339" width="8.125" customWidth="1"/>
    <col min="4340" max="4340" width="8.75" customWidth="1"/>
    <col min="4341" max="4341" width="11" customWidth="1"/>
    <col min="4342" max="4342" width="2.875" customWidth="1"/>
    <col min="4343" max="4343" width="77.625" customWidth="1"/>
    <col min="4344" max="4344" width="20.875" customWidth="1"/>
    <col min="4594" max="4594" width="2.875" customWidth="1"/>
    <col min="4595" max="4595" width="8.125" customWidth="1"/>
    <col min="4596" max="4596" width="8.75" customWidth="1"/>
    <col min="4597" max="4597" width="11" customWidth="1"/>
    <col min="4598" max="4598" width="2.875" customWidth="1"/>
    <col min="4599" max="4599" width="77.625" customWidth="1"/>
    <col min="4600" max="4600" width="20.875" customWidth="1"/>
    <col min="4850" max="4850" width="2.875" customWidth="1"/>
    <col min="4851" max="4851" width="8.125" customWidth="1"/>
    <col min="4852" max="4852" width="8.75" customWidth="1"/>
    <col min="4853" max="4853" width="11" customWidth="1"/>
    <col min="4854" max="4854" width="2.875" customWidth="1"/>
    <col min="4855" max="4855" width="77.625" customWidth="1"/>
    <col min="4856" max="4856" width="20.875" customWidth="1"/>
    <col min="5106" max="5106" width="2.875" customWidth="1"/>
    <col min="5107" max="5107" width="8.125" customWidth="1"/>
    <col min="5108" max="5108" width="8.75" customWidth="1"/>
    <col min="5109" max="5109" width="11" customWidth="1"/>
    <col min="5110" max="5110" width="2.875" customWidth="1"/>
    <col min="5111" max="5111" width="77.625" customWidth="1"/>
    <col min="5112" max="5112" width="20.875" customWidth="1"/>
    <col min="5362" max="5362" width="2.875" customWidth="1"/>
    <col min="5363" max="5363" width="8.125" customWidth="1"/>
    <col min="5364" max="5364" width="8.75" customWidth="1"/>
    <col min="5365" max="5365" width="11" customWidth="1"/>
    <col min="5366" max="5366" width="2.875" customWidth="1"/>
    <col min="5367" max="5367" width="77.625" customWidth="1"/>
    <col min="5368" max="5368" width="20.875" customWidth="1"/>
    <col min="5618" max="5618" width="2.875" customWidth="1"/>
    <col min="5619" max="5619" width="8.125" customWidth="1"/>
    <col min="5620" max="5620" width="8.75" customWidth="1"/>
    <col min="5621" max="5621" width="11" customWidth="1"/>
    <col min="5622" max="5622" width="2.875" customWidth="1"/>
    <col min="5623" max="5623" width="77.625" customWidth="1"/>
    <col min="5624" max="5624" width="20.875" customWidth="1"/>
    <col min="5874" max="5874" width="2.875" customWidth="1"/>
    <col min="5875" max="5875" width="8.125" customWidth="1"/>
    <col min="5876" max="5876" width="8.75" customWidth="1"/>
    <col min="5877" max="5877" width="11" customWidth="1"/>
    <col min="5878" max="5878" width="2.875" customWidth="1"/>
    <col min="5879" max="5879" width="77.625" customWidth="1"/>
    <col min="5880" max="5880" width="20.875" customWidth="1"/>
    <col min="6130" max="6130" width="2.875" customWidth="1"/>
    <col min="6131" max="6131" width="8.125" customWidth="1"/>
    <col min="6132" max="6132" width="8.75" customWidth="1"/>
    <col min="6133" max="6133" width="11" customWidth="1"/>
    <col min="6134" max="6134" width="2.875" customWidth="1"/>
    <col min="6135" max="6135" width="77.625" customWidth="1"/>
    <col min="6136" max="6136" width="20.875" customWidth="1"/>
    <col min="6386" max="6386" width="2.875" customWidth="1"/>
    <col min="6387" max="6387" width="8.125" customWidth="1"/>
    <col min="6388" max="6388" width="8.75" customWidth="1"/>
    <col min="6389" max="6389" width="11" customWidth="1"/>
    <col min="6390" max="6390" width="2.875" customWidth="1"/>
    <col min="6391" max="6391" width="77.625" customWidth="1"/>
    <col min="6392" max="6392" width="20.875" customWidth="1"/>
    <col min="6642" max="6642" width="2.875" customWidth="1"/>
    <col min="6643" max="6643" width="8.125" customWidth="1"/>
    <col min="6644" max="6644" width="8.75" customWidth="1"/>
    <col min="6645" max="6645" width="11" customWidth="1"/>
    <col min="6646" max="6646" width="2.875" customWidth="1"/>
    <col min="6647" max="6647" width="77.625" customWidth="1"/>
    <col min="6648" max="6648" width="20.875" customWidth="1"/>
    <col min="6898" max="6898" width="2.875" customWidth="1"/>
    <col min="6899" max="6899" width="8.125" customWidth="1"/>
    <col min="6900" max="6900" width="8.75" customWidth="1"/>
    <col min="6901" max="6901" width="11" customWidth="1"/>
    <col min="6902" max="6902" width="2.875" customWidth="1"/>
    <col min="6903" max="6903" width="77.625" customWidth="1"/>
    <col min="6904" max="6904" width="20.875" customWidth="1"/>
    <col min="7154" max="7154" width="2.875" customWidth="1"/>
    <col min="7155" max="7155" width="8.125" customWidth="1"/>
    <col min="7156" max="7156" width="8.75" customWidth="1"/>
    <col min="7157" max="7157" width="11" customWidth="1"/>
    <col min="7158" max="7158" width="2.875" customWidth="1"/>
    <col min="7159" max="7159" width="77.625" customWidth="1"/>
    <col min="7160" max="7160" width="20.875" customWidth="1"/>
    <col min="7410" max="7410" width="2.875" customWidth="1"/>
    <col min="7411" max="7411" width="8.125" customWidth="1"/>
    <col min="7412" max="7412" width="8.75" customWidth="1"/>
    <col min="7413" max="7413" width="11" customWidth="1"/>
    <col min="7414" max="7414" width="2.875" customWidth="1"/>
    <col min="7415" max="7415" width="77.625" customWidth="1"/>
    <col min="7416" max="7416" width="20.875" customWidth="1"/>
    <col min="7666" max="7666" width="2.875" customWidth="1"/>
    <col min="7667" max="7667" width="8.125" customWidth="1"/>
    <col min="7668" max="7668" width="8.75" customWidth="1"/>
    <col min="7669" max="7669" width="11" customWidth="1"/>
    <col min="7670" max="7670" width="2.875" customWidth="1"/>
    <col min="7671" max="7671" width="77.625" customWidth="1"/>
    <col min="7672" max="7672" width="20.875" customWidth="1"/>
    <col min="7922" max="7922" width="2.875" customWidth="1"/>
    <col min="7923" max="7923" width="8.125" customWidth="1"/>
    <col min="7924" max="7924" width="8.75" customWidth="1"/>
    <col min="7925" max="7925" width="11" customWidth="1"/>
    <col min="7926" max="7926" width="2.875" customWidth="1"/>
    <col min="7927" max="7927" width="77.625" customWidth="1"/>
    <col min="7928" max="7928" width="20.875" customWidth="1"/>
    <col min="8178" max="8178" width="2.875" customWidth="1"/>
    <col min="8179" max="8179" width="8.125" customWidth="1"/>
    <col min="8180" max="8180" width="8.75" customWidth="1"/>
    <col min="8181" max="8181" width="11" customWidth="1"/>
    <col min="8182" max="8182" width="2.875" customWidth="1"/>
    <col min="8183" max="8183" width="77.625" customWidth="1"/>
    <col min="8184" max="8184" width="20.875" customWidth="1"/>
    <col min="8434" max="8434" width="2.875" customWidth="1"/>
    <col min="8435" max="8435" width="8.125" customWidth="1"/>
    <col min="8436" max="8436" width="8.75" customWidth="1"/>
    <col min="8437" max="8437" width="11" customWidth="1"/>
    <col min="8438" max="8438" width="2.875" customWidth="1"/>
    <col min="8439" max="8439" width="77.625" customWidth="1"/>
    <col min="8440" max="8440" width="20.875" customWidth="1"/>
    <col min="8690" max="8690" width="2.875" customWidth="1"/>
    <col min="8691" max="8691" width="8.125" customWidth="1"/>
    <col min="8692" max="8692" width="8.75" customWidth="1"/>
    <col min="8693" max="8693" width="11" customWidth="1"/>
    <col min="8694" max="8694" width="2.875" customWidth="1"/>
    <col min="8695" max="8695" width="77.625" customWidth="1"/>
    <col min="8696" max="8696" width="20.875" customWidth="1"/>
    <col min="8946" max="8946" width="2.875" customWidth="1"/>
    <col min="8947" max="8947" width="8.125" customWidth="1"/>
    <col min="8948" max="8948" width="8.75" customWidth="1"/>
    <col min="8949" max="8949" width="11" customWidth="1"/>
    <col min="8950" max="8950" width="2.875" customWidth="1"/>
    <col min="8951" max="8951" width="77.625" customWidth="1"/>
    <col min="8952" max="8952" width="20.875" customWidth="1"/>
    <col min="9202" max="9202" width="2.875" customWidth="1"/>
    <col min="9203" max="9203" width="8.125" customWidth="1"/>
    <col min="9204" max="9204" width="8.75" customWidth="1"/>
    <col min="9205" max="9205" width="11" customWidth="1"/>
    <col min="9206" max="9206" width="2.875" customWidth="1"/>
    <col min="9207" max="9207" width="77.625" customWidth="1"/>
    <col min="9208" max="9208" width="20.875" customWidth="1"/>
    <col min="9458" max="9458" width="2.875" customWidth="1"/>
    <col min="9459" max="9459" width="8.125" customWidth="1"/>
    <col min="9460" max="9460" width="8.75" customWidth="1"/>
    <col min="9461" max="9461" width="11" customWidth="1"/>
    <col min="9462" max="9462" width="2.875" customWidth="1"/>
    <col min="9463" max="9463" width="77.625" customWidth="1"/>
    <col min="9464" max="9464" width="20.875" customWidth="1"/>
    <col min="9714" max="9714" width="2.875" customWidth="1"/>
    <col min="9715" max="9715" width="8.125" customWidth="1"/>
    <col min="9716" max="9716" width="8.75" customWidth="1"/>
    <col min="9717" max="9717" width="11" customWidth="1"/>
    <col min="9718" max="9718" width="2.875" customWidth="1"/>
    <col min="9719" max="9719" width="77.625" customWidth="1"/>
    <col min="9720" max="9720" width="20.875" customWidth="1"/>
    <col min="9970" max="9970" width="2.875" customWidth="1"/>
    <col min="9971" max="9971" width="8.125" customWidth="1"/>
    <col min="9972" max="9972" width="8.75" customWidth="1"/>
    <col min="9973" max="9973" width="11" customWidth="1"/>
    <col min="9974" max="9974" width="2.875" customWidth="1"/>
    <col min="9975" max="9975" width="77.625" customWidth="1"/>
    <col min="9976" max="9976" width="20.875" customWidth="1"/>
    <col min="10226" max="10226" width="2.875" customWidth="1"/>
    <col min="10227" max="10227" width="8.125" customWidth="1"/>
    <col min="10228" max="10228" width="8.75" customWidth="1"/>
    <col min="10229" max="10229" width="11" customWidth="1"/>
    <col min="10230" max="10230" width="2.875" customWidth="1"/>
    <col min="10231" max="10231" width="77.625" customWidth="1"/>
    <col min="10232" max="10232" width="20.875" customWidth="1"/>
    <col min="10482" max="10482" width="2.875" customWidth="1"/>
    <col min="10483" max="10483" width="8.125" customWidth="1"/>
    <col min="10484" max="10484" width="8.75" customWidth="1"/>
    <col min="10485" max="10485" width="11" customWidth="1"/>
    <col min="10486" max="10486" width="2.875" customWidth="1"/>
    <col min="10487" max="10487" width="77.625" customWidth="1"/>
    <col min="10488" max="10488" width="20.875" customWidth="1"/>
    <col min="10738" max="10738" width="2.875" customWidth="1"/>
    <col min="10739" max="10739" width="8.125" customWidth="1"/>
    <col min="10740" max="10740" width="8.75" customWidth="1"/>
    <col min="10741" max="10741" width="11" customWidth="1"/>
    <col min="10742" max="10742" width="2.875" customWidth="1"/>
    <col min="10743" max="10743" width="77.625" customWidth="1"/>
    <col min="10744" max="10744" width="20.875" customWidth="1"/>
    <col min="10994" max="10994" width="2.875" customWidth="1"/>
    <col min="10995" max="10995" width="8.125" customWidth="1"/>
    <col min="10996" max="10996" width="8.75" customWidth="1"/>
    <col min="10997" max="10997" width="11" customWidth="1"/>
    <col min="10998" max="10998" width="2.875" customWidth="1"/>
    <col min="10999" max="10999" width="77.625" customWidth="1"/>
    <col min="11000" max="11000" width="20.875" customWidth="1"/>
    <col min="11250" max="11250" width="2.875" customWidth="1"/>
    <col min="11251" max="11251" width="8.125" customWidth="1"/>
    <col min="11252" max="11252" width="8.75" customWidth="1"/>
    <col min="11253" max="11253" width="11" customWidth="1"/>
    <col min="11254" max="11254" width="2.875" customWidth="1"/>
    <col min="11255" max="11255" width="77.625" customWidth="1"/>
    <col min="11256" max="11256" width="20.875" customWidth="1"/>
    <col min="11506" max="11506" width="2.875" customWidth="1"/>
    <col min="11507" max="11507" width="8.125" customWidth="1"/>
    <col min="11508" max="11508" width="8.75" customWidth="1"/>
    <col min="11509" max="11509" width="11" customWidth="1"/>
    <col min="11510" max="11510" width="2.875" customWidth="1"/>
    <col min="11511" max="11511" width="77.625" customWidth="1"/>
    <col min="11512" max="11512" width="20.875" customWidth="1"/>
    <col min="11762" max="11762" width="2.875" customWidth="1"/>
    <col min="11763" max="11763" width="8.125" customWidth="1"/>
    <col min="11764" max="11764" width="8.75" customWidth="1"/>
    <col min="11765" max="11765" width="11" customWidth="1"/>
    <col min="11766" max="11766" width="2.875" customWidth="1"/>
    <col min="11767" max="11767" width="77.625" customWidth="1"/>
    <col min="11768" max="11768" width="20.875" customWidth="1"/>
    <col min="12018" max="12018" width="2.875" customWidth="1"/>
    <col min="12019" max="12019" width="8.125" customWidth="1"/>
    <col min="12020" max="12020" width="8.75" customWidth="1"/>
    <col min="12021" max="12021" width="11" customWidth="1"/>
    <col min="12022" max="12022" width="2.875" customWidth="1"/>
    <col min="12023" max="12023" width="77.625" customWidth="1"/>
    <col min="12024" max="12024" width="20.875" customWidth="1"/>
    <col min="12274" max="12274" width="2.875" customWidth="1"/>
    <col min="12275" max="12275" width="8.125" customWidth="1"/>
    <col min="12276" max="12276" width="8.75" customWidth="1"/>
    <col min="12277" max="12277" width="11" customWidth="1"/>
    <col min="12278" max="12278" width="2.875" customWidth="1"/>
    <col min="12279" max="12279" width="77.625" customWidth="1"/>
    <col min="12280" max="12280" width="20.875" customWidth="1"/>
    <col min="12530" max="12530" width="2.875" customWidth="1"/>
    <col min="12531" max="12531" width="8.125" customWidth="1"/>
    <col min="12532" max="12532" width="8.75" customWidth="1"/>
    <col min="12533" max="12533" width="11" customWidth="1"/>
    <col min="12534" max="12534" width="2.875" customWidth="1"/>
    <col min="12535" max="12535" width="77.625" customWidth="1"/>
    <col min="12536" max="12536" width="20.875" customWidth="1"/>
    <col min="12786" max="12786" width="2.875" customWidth="1"/>
    <col min="12787" max="12787" width="8.125" customWidth="1"/>
    <col min="12788" max="12788" width="8.75" customWidth="1"/>
    <col min="12789" max="12789" width="11" customWidth="1"/>
    <col min="12790" max="12790" width="2.875" customWidth="1"/>
    <col min="12791" max="12791" width="77.625" customWidth="1"/>
    <col min="12792" max="12792" width="20.875" customWidth="1"/>
    <col min="13042" max="13042" width="2.875" customWidth="1"/>
    <col min="13043" max="13043" width="8.125" customWidth="1"/>
    <col min="13044" max="13044" width="8.75" customWidth="1"/>
    <col min="13045" max="13045" width="11" customWidth="1"/>
    <col min="13046" max="13046" width="2.875" customWidth="1"/>
    <col min="13047" max="13047" width="77.625" customWidth="1"/>
    <col min="13048" max="13048" width="20.875" customWidth="1"/>
    <col min="13298" max="13298" width="2.875" customWidth="1"/>
    <col min="13299" max="13299" width="8.125" customWidth="1"/>
    <col min="13300" max="13300" width="8.75" customWidth="1"/>
    <col min="13301" max="13301" width="11" customWidth="1"/>
    <col min="13302" max="13302" width="2.875" customWidth="1"/>
    <col min="13303" max="13303" width="77.625" customWidth="1"/>
    <col min="13304" max="13304" width="20.875" customWidth="1"/>
    <col min="13554" max="13554" width="2.875" customWidth="1"/>
    <col min="13555" max="13555" width="8.125" customWidth="1"/>
    <col min="13556" max="13556" width="8.75" customWidth="1"/>
    <col min="13557" max="13557" width="11" customWidth="1"/>
    <col min="13558" max="13558" width="2.875" customWidth="1"/>
    <col min="13559" max="13559" width="77.625" customWidth="1"/>
    <col min="13560" max="13560" width="20.875" customWidth="1"/>
    <col min="13810" max="13810" width="2.875" customWidth="1"/>
    <col min="13811" max="13811" width="8.125" customWidth="1"/>
    <col min="13812" max="13812" width="8.75" customWidth="1"/>
    <col min="13813" max="13813" width="11" customWidth="1"/>
    <col min="13814" max="13814" width="2.875" customWidth="1"/>
    <col min="13815" max="13815" width="77.625" customWidth="1"/>
    <col min="13816" max="13816" width="20.875" customWidth="1"/>
    <col min="14066" max="14066" width="2.875" customWidth="1"/>
    <col min="14067" max="14067" width="8.125" customWidth="1"/>
    <col min="14068" max="14068" width="8.75" customWidth="1"/>
    <col min="14069" max="14069" width="11" customWidth="1"/>
    <col min="14070" max="14070" width="2.875" customWidth="1"/>
    <col min="14071" max="14071" width="77.625" customWidth="1"/>
    <col min="14072" max="14072" width="20.875" customWidth="1"/>
    <col min="14322" max="14322" width="2.875" customWidth="1"/>
    <col min="14323" max="14323" width="8.125" customWidth="1"/>
    <col min="14324" max="14324" width="8.75" customWidth="1"/>
    <col min="14325" max="14325" width="11" customWidth="1"/>
    <col min="14326" max="14326" width="2.875" customWidth="1"/>
    <col min="14327" max="14327" width="77.625" customWidth="1"/>
    <col min="14328" max="14328" width="20.875" customWidth="1"/>
    <col min="14578" max="14578" width="2.875" customWidth="1"/>
    <col min="14579" max="14579" width="8.125" customWidth="1"/>
    <col min="14580" max="14580" width="8.75" customWidth="1"/>
    <col min="14581" max="14581" width="11" customWidth="1"/>
    <col min="14582" max="14582" width="2.875" customWidth="1"/>
    <col min="14583" max="14583" width="77.625" customWidth="1"/>
    <col min="14584" max="14584" width="20.875" customWidth="1"/>
    <col min="14834" max="14834" width="2.875" customWidth="1"/>
    <col min="14835" max="14835" width="8.125" customWidth="1"/>
    <col min="14836" max="14836" width="8.75" customWidth="1"/>
    <col min="14837" max="14837" width="11" customWidth="1"/>
    <col min="14838" max="14838" width="2.875" customWidth="1"/>
    <col min="14839" max="14839" width="77.625" customWidth="1"/>
    <col min="14840" max="14840" width="20.875" customWidth="1"/>
    <col min="15090" max="15090" width="2.875" customWidth="1"/>
    <col min="15091" max="15091" width="8.125" customWidth="1"/>
    <col min="15092" max="15092" width="8.75" customWidth="1"/>
    <col min="15093" max="15093" width="11" customWidth="1"/>
    <col min="15094" max="15094" width="2.875" customWidth="1"/>
    <col min="15095" max="15095" width="77.625" customWidth="1"/>
    <col min="15096" max="15096" width="20.875" customWidth="1"/>
    <col min="15346" max="15346" width="2.875" customWidth="1"/>
    <col min="15347" max="15347" width="8.125" customWidth="1"/>
    <col min="15348" max="15348" width="8.75" customWidth="1"/>
    <col min="15349" max="15349" width="11" customWidth="1"/>
    <col min="15350" max="15350" width="2.875" customWidth="1"/>
    <col min="15351" max="15351" width="77.625" customWidth="1"/>
    <col min="15352" max="15352" width="20.875" customWidth="1"/>
    <col min="15602" max="15602" width="2.875" customWidth="1"/>
    <col min="15603" max="15603" width="8.125" customWidth="1"/>
    <col min="15604" max="15604" width="8.75" customWidth="1"/>
    <col min="15605" max="15605" width="11" customWidth="1"/>
    <col min="15606" max="15606" width="2.875" customWidth="1"/>
    <col min="15607" max="15607" width="77.625" customWidth="1"/>
    <col min="15608" max="15608" width="20.875" customWidth="1"/>
    <col min="15858" max="15858" width="2.875" customWidth="1"/>
    <col min="15859" max="15859" width="8.125" customWidth="1"/>
    <col min="15860" max="15860" width="8.75" customWidth="1"/>
    <col min="15861" max="15861" width="11" customWidth="1"/>
    <col min="15862" max="15862" width="2.875" customWidth="1"/>
    <col min="15863" max="15863" width="77.625" customWidth="1"/>
    <col min="15864" max="15864" width="20.875" customWidth="1"/>
    <col min="16114" max="16114" width="2.875" customWidth="1"/>
    <col min="16115" max="16115" width="8.125" customWidth="1"/>
    <col min="16116" max="16116" width="8.75" customWidth="1"/>
    <col min="16117" max="16117" width="11" customWidth="1"/>
    <col min="16118" max="16118" width="2.875" customWidth="1"/>
    <col min="16119" max="16119" width="77.625" customWidth="1"/>
    <col min="16120" max="16120" width="20.875" customWidth="1"/>
  </cols>
  <sheetData>
    <row r="1" spans="2:28" ht="22.5" customHeight="1" x14ac:dyDescent="0.4">
      <c r="B1" s="34" t="s">
        <v>0</v>
      </c>
      <c r="C1" s="35"/>
      <c r="D1" s="36"/>
      <c r="E1" s="36"/>
      <c r="F1" s="36"/>
      <c r="G1" s="35"/>
      <c r="H1" s="148"/>
      <c r="I1" s="35"/>
      <c r="J1" s="35"/>
      <c r="K1" s="35"/>
      <c r="L1" s="250"/>
      <c r="M1" s="35"/>
      <c r="N1" s="35"/>
      <c r="O1" s="756"/>
      <c r="P1" s="587"/>
      <c r="Q1" s="622"/>
      <c r="R1" s="347"/>
      <c r="S1" s="347"/>
      <c r="T1" s="347"/>
    </row>
    <row r="2" spans="2:28" ht="22.5" customHeight="1" x14ac:dyDescent="0.4">
      <c r="B2" s="34" t="s">
        <v>632</v>
      </c>
      <c r="C2" s="35"/>
      <c r="D2" s="36"/>
      <c r="E2" s="36"/>
      <c r="F2" s="36"/>
      <c r="G2" s="35"/>
      <c r="H2" s="148"/>
      <c r="I2" s="35"/>
      <c r="J2" s="35"/>
      <c r="K2" s="148"/>
      <c r="L2" s="250"/>
      <c r="M2" s="35"/>
      <c r="N2" s="35"/>
      <c r="O2" s="756"/>
      <c r="P2" s="587"/>
      <c r="Q2" s="622"/>
      <c r="R2" s="347"/>
      <c r="S2" s="347"/>
      <c r="T2" s="347"/>
    </row>
    <row r="3" spans="2:28" ht="22.5" customHeight="1" x14ac:dyDescent="0.4">
      <c r="B3" s="34" t="s">
        <v>633</v>
      </c>
      <c r="C3" s="35"/>
      <c r="D3" s="36"/>
      <c r="E3" s="36"/>
      <c r="F3" s="36"/>
      <c r="G3" s="35"/>
      <c r="H3" s="148"/>
      <c r="I3" s="35"/>
      <c r="J3" s="35"/>
      <c r="K3" s="35"/>
      <c r="L3" s="250"/>
      <c r="M3" s="35"/>
      <c r="N3" s="35"/>
      <c r="O3" s="756"/>
      <c r="P3" s="587"/>
      <c r="Q3" s="622"/>
      <c r="R3" s="347"/>
      <c r="S3" s="347"/>
      <c r="T3" s="347"/>
      <c r="AB3" s="8"/>
    </row>
    <row r="4" spans="2:28" ht="22.5" customHeight="1" x14ac:dyDescent="0.4">
      <c r="B4" s="34"/>
      <c r="C4" s="35"/>
      <c r="D4" s="36"/>
      <c r="E4" s="36"/>
      <c r="F4" s="36"/>
      <c r="G4" s="35"/>
      <c r="H4" s="148"/>
      <c r="I4" s="35"/>
      <c r="J4" s="35"/>
      <c r="K4" s="35"/>
      <c r="L4" s="250"/>
      <c r="M4" s="35"/>
      <c r="N4" s="35"/>
      <c r="O4" s="756"/>
      <c r="P4" s="587"/>
      <c r="Q4" s="622"/>
      <c r="R4" s="347"/>
      <c r="S4" s="347"/>
      <c r="T4" s="347"/>
      <c r="AB4" s="8"/>
    </row>
    <row r="5" spans="2:28" s="38" customFormat="1" ht="5.25" customHeight="1" thickBot="1" x14ac:dyDescent="0.3">
      <c r="B5" s="37"/>
      <c r="C5" s="37"/>
      <c r="D5" s="37"/>
      <c r="E5" s="37"/>
      <c r="F5" s="37"/>
      <c r="G5" s="37"/>
      <c r="H5" s="149"/>
      <c r="L5" s="251"/>
      <c r="O5" s="757"/>
      <c r="P5" s="527"/>
      <c r="Q5" s="528"/>
      <c r="R5" s="348"/>
      <c r="S5" s="348"/>
      <c r="T5" s="348"/>
      <c r="X5" s="8"/>
      <c r="Y5" s="8"/>
      <c r="Z5" s="8"/>
      <c r="AA5" s="8"/>
      <c r="AB5" s="8"/>
    </row>
    <row r="6" spans="2:28" s="41" customFormat="1" ht="24.75" customHeight="1" thickTop="1" thickBot="1" x14ac:dyDescent="0.3">
      <c r="B6" s="39" t="s">
        <v>3</v>
      </c>
      <c r="C6" s="39"/>
      <c r="D6" s="39"/>
      <c r="E6" s="39"/>
      <c r="F6" s="39"/>
      <c r="G6" s="39"/>
      <c r="H6" s="812" t="s">
        <v>4</v>
      </c>
      <c r="I6" s="812"/>
      <c r="J6" s="812"/>
      <c r="K6" s="812"/>
      <c r="L6" s="404"/>
      <c r="M6" s="272" t="s">
        <v>5</v>
      </c>
      <c r="N6" s="272" t="s">
        <v>6</v>
      </c>
      <c r="O6" s="758" t="s">
        <v>634</v>
      </c>
      <c r="P6" s="530"/>
      <c r="Q6" s="531"/>
      <c r="R6" s="349"/>
      <c r="S6" s="349"/>
      <c r="T6" s="349"/>
      <c r="X6" s="8"/>
      <c r="Y6" s="8"/>
      <c r="Z6" s="8"/>
      <c r="AA6" s="8"/>
      <c r="AB6" s="8"/>
    </row>
    <row r="7" spans="2:28" s="43" customFormat="1" ht="8.25" customHeight="1" thickTop="1" x14ac:dyDescent="0.25">
      <c r="B7" s="42"/>
      <c r="C7" s="42"/>
      <c r="D7" s="42"/>
      <c r="E7" s="42"/>
      <c r="F7" s="42"/>
      <c r="G7" s="42"/>
      <c r="H7" s="150"/>
      <c r="L7" s="252"/>
      <c r="O7" s="759"/>
      <c r="P7" s="466"/>
      <c r="Q7" s="531"/>
      <c r="R7" s="349"/>
      <c r="S7" s="349"/>
      <c r="T7" s="349"/>
      <c r="X7" s="8"/>
      <c r="Y7" s="8"/>
      <c r="Z7" s="8"/>
      <c r="AA7" s="8"/>
      <c r="AB7" s="8"/>
    </row>
    <row r="8" spans="2:28" ht="21" thickBot="1" x14ac:dyDescent="0.35">
      <c r="B8" s="44"/>
      <c r="C8" s="97" t="s">
        <v>7</v>
      </c>
      <c r="D8" s="97"/>
      <c r="E8" s="97"/>
      <c r="F8" s="97"/>
      <c r="G8" s="97"/>
      <c r="H8" s="186" t="str">
        <f>'August''25 Financial Position'!I7</f>
        <v>August 31 2025</v>
      </c>
      <c r="I8" s="186">
        <v>45657</v>
      </c>
      <c r="J8" s="223"/>
      <c r="K8" s="186" t="str">
        <f>'August''25 Financial Position'!K7</f>
        <v>August 31 2024</v>
      </c>
      <c r="L8" s="186">
        <v>45351</v>
      </c>
      <c r="M8" s="884" t="s">
        <v>635</v>
      </c>
      <c r="N8" s="884"/>
      <c r="AB8" s="8"/>
    </row>
    <row r="9" spans="2:28" ht="20.25" x14ac:dyDescent="0.3">
      <c r="B9" s="44"/>
      <c r="C9" s="44"/>
      <c r="D9" s="46" t="s">
        <v>14</v>
      </c>
      <c r="E9" s="46"/>
      <c r="F9" s="46"/>
      <c r="G9" s="42"/>
      <c r="H9" s="150">
        <v>135426.89000000001</v>
      </c>
      <c r="I9" s="150">
        <v>187799</v>
      </c>
      <c r="J9" s="150"/>
      <c r="K9" s="150">
        <v>119920.82</v>
      </c>
      <c r="L9" s="150">
        <v>21896.39</v>
      </c>
      <c r="M9" s="260">
        <f>H9-K9</f>
        <v>15506.070000000007</v>
      </c>
      <c r="N9" s="675">
        <f>(H9-K9)/K9</f>
        <v>0.12930256814454744</v>
      </c>
      <c r="O9" s="674" t="s">
        <v>636</v>
      </c>
      <c r="P9" s="466"/>
      <c r="Q9" s="620" t="s">
        <v>637</v>
      </c>
      <c r="R9" s="349"/>
      <c r="S9" s="349"/>
      <c r="T9" s="349"/>
      <c r="U9" s="43"/>
      <c r="V9" s="43"/>
      <c r="W9" s="43"/>
      <c r="AB9" s="8"/>
    </row>
    <row r="10" spans="2:28" s="43" customFormat="1" ht="20.25" x14ac:dyDescent="0.25">
      <c r="B10" s="42"/>
      <c r="C10" s="42"/>
      <c r="D10" s="46" t="s">
        <v>13</v>
      </c>
      <c r="E10" s="46"/>
      <c r="F10" s="46"/>
      <c r="G10" s="42"/>
      <c r="H10" s="159">
        <v>323871.55</v>
      </c>
      <c r="I10" s="159">
        <v>513940</v>
      </c>
      <c r="J10" s="159"/>
      <c r="K10" s="159">
        <v>359731.78</v>
      </c>
      <c r="L10" s="159">
        <v>107361.07</v>
      </c>
      <c r="M10" s="260">
        <f t="shared" ref="M10:M14" si="0">H10-K10</f>
        <v>-35860.23000000004</v>
      </c>
      <c r="N10" s="675">
        <f>(H10-K10)/K10</f>
        <v>-9.9686021624222465E-2</v>
      </c>
      <c r="O10" s="674" t="s">
        <v>638</v>
      </c>
      <c r="P10" s="466">
        <f>M10/L10</f>
        <v>-0.33401520681565522</v>
      </c>
      <c r="Q10" s="620" t="s">
        <v>639</v>
      </c>
      <c r="R10" s="349" t="s">
        <v>640</v>
      </c>
      <c r="S10" s="349"/>
      <c r="T10" s="349"/>
      <c r="X10" s="8"/>
      <c r="Y10" s="8"/>
      <c r="Z10" s="8"/>
      <c r="AA10" s="8"/>
      <c r="AB10" s="8"/>
    </row>
    <row r="11" spans="2:28" s="43" customFormat="1" ht="20.25" hidden="1" x14ac:dyDescent="0.25">
      <c r="B11" s="42"/>
      <c r="C11" s="42"/>
      <c r="D11" s="46" t="s">
        <v>641</v>
      </c>
      <c r="E11" s="46"/>
      <c r="F11" s="46"/>
      <c r="G11" s="42"/>
      <c r="H11" s="150">
        <v>0</v>
      </c>
      <c r="I11" s="150">
        <v>0</v>
      </c>
      <c r="J11" s="150"/>
      <c r="K11" s="150">
        <v>0</v>
      </c>
      <c r="L11" s="150">
        <v>0</v>
      </c>
      <c r="M11" s="181">
        <f t="shared" si="0"/>
        <v>0</v>
      </c>
      <c r="N11" s="675"/>
      <c r="O11" s="674"/>
      <c r="P11" s="466"/>
      <c r="Q11" s="620"/>
      <c r="R11" s="349"/>
      <c r="S11" s="349"/>
      <c r="T11" s="349"/>
      <c r="X11" s="8"/>
      <c r="Y11" s="8"/>
      <c r="Z11" s="8"/>
      <c r="AA11" s="8"/>
      <c r="AB11" s="8"/>
    </row>
    <row r="12" spans="2:28" s="43" customFormat="1" ht="20.25" x14ac:dyDescent="0.25">
      <c r="B12" s="42"/>
      <c r="C12" s="42"/>
      <c r="D12" s="46" t="s">
        <v>15</v>
      </c>
      <c r="E12" s="46"/>
      <c r="F12" s="46"/>
      <c r="G12" s="42"/>
      <c r="H12" s="150">
        <f>'August''25 Revenues &amp; Expenses'!J18+'August''25 Revenues &amp; Expenses'!J19+'August''25 Revenues &amp; Expenses'!J20</f>
        <v>49136.6</v>
      </c>
      <c r="I12" s="150">
        <v>39117.93</v>
      </c>
      <c r="J12" s="150"/>
      <c r="K12" s="150">
        <v>13647</v>
      </c>
      <c r="L12" s="150">
        <v>5698.68</v>
      </c>
      <c r="M12" s="260">
        <f t="shared" si="0"/>
        <v>35489.599999999999</v>
      </c>
      <c r="N12" s="675">
        <f>(H12-K12)/K12</f>
        <v>2.6005422437165677</v>
      </c>
      <c r="O12" s="674" t="s">
        <v>642</v>
      </c>
      <c r="P12" s="466"/>
      <c r="Q12" s="620" t="s">
        <v>643</v>
      </c>
      <c r="R12" s="349"/>
      <c r="S12" s="349"/>
      <c r="T12" s="349"/>
      <c r="X12" s="8"/>
      <c r="Y12" s="8"/>
      <c r="Z12" s="8"/>
      <c r="AA12" s="8"/>
      <c r="AB12" s="8">
        <f>13330.6+25557.75</f>
        <v>38888.35</v>
      </c>
    </row>
    <row r="13" spans="2:28" s="43" customFormat="1" ht="20.25" x14ac:dyDescent="0.25">
      <c r="B13" s="42"/>
      <c r="C13" s="42"/>
      <c r="D13" s="46" t="s">
        <v>644</v>
      </c>
      <c r="E13" s="46"/>
      <c r="F13" s="46"/>
      <c r="G13" s="42"/>
      <c r="H13" s="150">
        <f>'August''25 Revenues &amp; Expenses'!K56</f>
        <v>2500</v>
      </c>
      <c r="I13" s="150">
        <v>5000</v>
      </c>
      <c r="J13" s="150"/>
      <c r="K13" s="150">
        <v>2500</v>
      </c>
      <c r="L13" s="150"/>
      <c r="M13" s="260">
        <f t="shared" si="0"/>
        <v>0</v>
      </c>
      <c r="N13" s="675">
        <f>(H13-K13)/K13</f>
        <v>0</v>
      </c>
      <c r="O13" s="674"/>
      <c r="P13" s="466"/>
      <c r="Q13" s="620" t="s">
        <v>643</v>
      </c>
      <c r="R13" s="349"/>
      <c r="S13" s="349"/>
      <c r="T13" s="349"/>
      <c r="X13" s="8"/>
      <c r="Y13" s="8"/>
      <c r="Z13" s="8"/>
      <c r="AA13" s="8"/>
      <c r="AB13" s="8"/>
    </row>
    <row r="14" spans="2:28" s="43" customFormat="1" ht="20.25" x14ac:dyDescent="0.25">
      <c r="B14" s="42"/>
      <c r="C14" s="42"/>
      <c r="D14" s="46" t="s">
        <v>645</v>
      </c>
      <c r="E14" s="46"/>
      <c r="F14" s="46"/>
      <c r="G14" s="42"/>
      <c r="H14" s="150">
        <f>'August''25 Revenues &amp; Expenses'!J15</f>
        <v>53785.03</v>
      </c>
      <c r="I14" s="150"/>
      <c r="J14" s="150"/>
      <c r="K14" s="150"/>
      <c r="L14" s="150"/>
      <c r="M14" s="260">
        <f t="shared" si="0"/>
        <v>53785.03</v>
      </c>
      <c r="N14" s="675"/>
      <c r="O14" s="674" t="s">
        <v>646</v>
      </c>
      <c r="P14" s="466"/>
      <c r="Q14" s="620"/>
      <c r="R14" s="349"/>
      <c r="S14" s="349"/>
      <c r="T14" s="349"/>
      <c r="X14" s="8"/>
      <c r="Y14" s="8"/>
      <c r="Z14" s="8"/>
      <c r="AA14" s="8"/>
      <c r="AB14" s="8"/>
    </row>
    <row r="15" spans="2:28" s="43" customFormat="1" ht="20.25" x14ac:dyDescent="0.2">
      <c r="B15" s="42"/>
      <c r="C15" s="42"/>
      <c r="D15" s="46" t="s">
        <v>16</v>
      </c>
      <c r="E15" s="46"/>
      <c r="F15" s="46"/>
      <c r="G15" s="42"/>
      <c r="H15" s="150"/>
      <c r="I15" s="150"/>
      <c r="J15" s="150"/>
      <c r="K15" s="150"/>
      <c r="L15" s="150"/>
      <c r="M15" s="181"/>
      <c r="N15" s="675"/>
      <c r="O15" s="674"/>
      <c r="P15" s="466"/>
      <c r="Q15" s="620" t="s">
        <v>643</v>
      </c>
      <c r="R15" s="349"/>
      <c r="S15" s="349"/>
      <c r="T15" s="349"/>
    </row>
    <row r="16" spans="2:28" s="43" customFormat="1" ht="20.25" x14ac:dyDescent="0.2">
      <c r="B16" s="42"/>
      <c r="C16" s="42"/>
      <c r="E16" s="46" t="s">
        <v>17</v>
      </c>
      <c r="F16" s="46"/>
      <c r="G16" s="42"/>
      <c r="H16" s="150">
        <v>135057.1</v>
      </c>
      <c r="I16" s="150">
        <v>217141.06</v>
      </c>
      <c r="J16" s="150"/>
      <c r="K16" s="150">
        <v>143624.71</v>
      </c>
      <c r="L16" s="150">
        <v>33435</v>
      </c>
      <c r="M16" s="260">
        <f t="shared" ref="M16:M30" si="1">H16-K16</f>
        <v>-8567.609999999986</v>
      </c>
      <c r="N16" s="675">
        <f t="shared" ref="N16:N30" si="2">(H16-K16)/K16</f>
        <v>-5.9652757523409351E-2</v>
      </c>
      <c r="O16" s="674"/>
      <c r="P16" s="466"/>
      <c r="Q16" s="620" t="s">
        <v>643</v>
      </c>
      <c r="R16" s="349" t="s">
        <v>647</v>
      </c>
      <c r="S16" s="349"/>
      <c r="T16" s="349"/>
    </row>
    <row r="17" spans="2:29" s="43" customFormat="1" ht="20.25" x14ac:dyDescent="0.2">
      <c r="B17" s="42"/>
      <c r="C17" s="42"/>
      <c r="E17" s="46" t="s">
        <v>18</v>
      </c>
      <c r="F17" s="46"/>
      <c r="G17" s="42"/>
      <c r="H17" s="150">
        <f>1500*8</f>
        <v>12000</v>
      </c>
      <c r="I17" s="150">
        <v>18000</v>
      </c>
      <c r="J17" s="150"/>
      <c r="K17" s="150">
        <v>12000</v>
      </c>
      <c r="L17" s="150">
        <v>3000</v>
      </c>
      <c r="M17" s="260">
        <f t="shared" si="1"/>
        <v>0</v>
      </c>
      <c r="N17" s="675">
        <f t="shared" si="2"/>
        <v>0</v>
      </c>
      <c r="O17" s="674"/>
      <c r="P17" s="466"/>
      <c r="Q17" s="620" t="s">
        <v>643</v>
      </c>
      <c r="R17" s="349"/>
      <c r="S17" s="349"/>
      <c r="T17" s="349"/>
    </row>
    <row r="18" spans="2:29" s="43" customFormat="1" ht="20.25" x14ac:dyDescent="0.2">
      <c r="B18" s="42"/>
      <c r="C18" s="42"/>
      <c r="E18" s="46" t="s">
        <v>19</v>
      </c>
      <c r="F18" s="46"/>
      <c r="G18" s="42"/>
      <c r="H18" s="150">
        <v>2500</v>
      </c>
      <c r="I18" s="150">
        <v>5000</v>
      </c>
      <c r="J18" s="150"/>
      <c r="K18" s="150">
        <v>2500</v>
      </c>
      <c r="L18" s="150">
        <v>0</v>
      </c>
      <c r="M18" s="260">
        <f t="shared" si="1"/>
        <v>0</v>
      </c>
      <c r="N18" s="675">
        <f t="shared" si="2"/>
        <v>0</v>
      </c>
      <c r="O18" s="674"/>
      <c r="P18" s="466"/>
      <c r="Q18" s="620" t="s">
        <v>643</v>
      </c>
      <c r="R18" s="349"/>
      <c r="S18" s="349"/>
      <c r="T18" s="349"/>
    </row>
    <row r="19" spans="2:29" s="43" customFormat="1" ht="20.25" x14ac:dyDescent="0.2">
      <c r="B19" s="42"/>
      <c r="C19" s="42"/>
      <c r="D19" s="794" t="s">
        <v>648</v>
      </c>
      <c r="E19" s="46"/>
      <c r="F19" s="46"/>
      <c r="G19" s="42"/>
      <c r="H19" s="150">
        <v>191822.43</v>
      </c>
      <c r="I19" s="150">
        <v>384717.96</v>
      </c>
      <c r="J19" s="150"/>
      <c r="K19" s="150">
        <v>215019.53</v>
      </c>
      <c r="L19" s="150">
        <v>55484.05</v>
      </c>
      <c r="M19" s="260">
        <f>H19-K19</f>
        <v>-23197.100000000006</v>
      </c>
      <c r="N19" s="675">
        <f>(H19-K19)/K19</f>
        <v>-0.10788368851889875</v>
      </c>
      <c r="O19" s="674" t="s">
        <v>649</v>
      </c>
      <c r="P19" s="466"/>
      <c r="Q19" s="620" t="s">
        <v>650</v>
      </c>
      <c r="R19" s="349" t="s">
        <v>651</v>
      </c>
      <c r="S19" s="350"/>
      <c r="T19" s="349"/>
    </row>
    <row r="20" spans="2:29" s="43" customFormat="1" ht="20.25" x14ac:dyDescent="0.2">
      <c r="B20" s="42"/>
      <c r="C20" s="42"/>
      <c r="D20" s="46" t="s">
        <v>105</v>
      </c>
      <c r="E20" s="46"/>
      <c r="F20" s="46"/>
      <c r="G20" s="42"/>
      <c r="H20" s="334">
        <v>10108.5</v>
      </c>
      <c r="I20" s="150">
        <v>20091.96</v>
      </c>
      <c r="J20" s="150"/>
      <c r="K20" s="150">
        <f>11986.48-355</f>
        <v>11631.48</v>
      </c>
      <c r="L20" s="150">
        <v>2714</v>
      </c>
      <c r="M20" s="260">
        <f t="shared" si="1"/>
        <v>-1522.9799999999996</v>
      </c>
      <c r="N20" s="675">
        <f t="shared" si="2"/>
        <v>-0.13093604597179376</v>
      </c>
      <c r="O20" s="674"/>
      <c r="P20" s="466"/>
      <c r="Q20" s="620" t="s">
        <v>652</v>
      </c>
      <c r="R20" s="349"/>
      <c r="S20" s="350"/>
      <c r="T20" s="349"/>
    </row>
    <row r="21" spans="2:29" s="43" customFormat="1" ht="20.25" x14ac:dyDescent="0.2">
      <c r="B21" s="42"/>
      <c r="C21" s="42"/>
      <c r="D21" s="46" t="s">
        <v>653</v>
      </c>
      <c r="E21" s="46"/>
      <c r="F21" s="46"/>
      <c r="G21" s="42"/>
      <c r="H21" s="150">
        <v>6256</v>
      </c>
      <c r="I21" s="150">
        <v>281.39999999999998</v>
      </c>
      <c r="J21" s="150"/>
      <c r="K21" s="150">
        <v>355</v>
      </c>
      <c r="L21" s="150">
        <v>50</v>
      </c>
      <c r="M21" s="260">
        <f t="shared" si="1"/>
        <v>5901</v>
      </c>
      <c r="N21" s="675">
        <f t="shared" si="2"/>
        <v>16.622535211267607</v>
      </c>
      <c r="O21" s="674" t="s">
        <v>654</v>
      </c>
      <c r="P21" s="466"/>
      <c r="Q21" s="620" t="s">
        <v>652</v>
      </c>
      <c r="R21" s="349"/>
      <c r="S21" s="350"/>
      <c r="T21" s="349"/>
    </row>
    <row r="22" spans="2:29" s="43" customFormat="1" ht="20.25" x14ac:dyDescent="0.2">
      <c r="B22" s="42"/>
      <c r="C22" s="42"/>
      <c r="D22" s="46" t="s">
        <v>655</v>
      </c>
      <c r="E22" s="46"/>
      <c r="F22" s="46"/>
      <c r="G22" s="42"/>
      <c r="H22" s="150">
        <v>9941.6</v>
      </c>
      <c r="I22" s="150">
        <v>28640.32</v>
      </c>
      <c r="J22" s="150"/>
      <c r="K22" s="150">
        <v>25182.12</v>
      </c>
      <c r="L22" s="150">
        <v>15586.98</v>
      </c>
      <c r="M22" s="260">
        <f t="shared" si="1"/>
        <v>-15240.519999999999</v>
      </c>
      <c r="N22" s="675">
        <f t="shared" si="2"/>
        <v>-0.6052119519722724</v>
      </c>
      <c r="O22" s="674" t="s">
        <v>656</v>
      </c>
      <c r="P22" s="466"/>
      <c r="Q22" s="620" t="s">
        <v>652</v>
      </c>
      <c r="R22" s="349"/>
      <c r="S22" s="350"/>
      <c r="T22" s="349"/>
    </row>
    <row r="23" spans="2:29" s="43" customFormat="1" ht="20.25" x14ac:dyDescent="0.2">
      <c r="B23" s="42"/>
      <c r="C23" s="42"/>
      <c r="D23" s="46" t="s">
        <v>29</v>
      </c>
      <c r="E23" s="46"/>
      <c r="F23" s="46"/>
      <c r="G23" s="42"/>
      <c r="H23" s="150">
        <v>35160</v>
      </c>
      <c r="I23" s="150">
        <v>52740</v>
      </c>
      <c r="J23" s="150"/>
      <c r="K23" s="150">
        <v>35160</v>
      </c>
      <c r="L23" s="150">
        <v>8790</v>
      </c>
      <c r="M23" s="260">
        <f t="shared" ref="M23" si="3">H23-K23</f>
        <v>0</v>
      </c>
      <c r="N23" s="765">
        <f t="shared" ref="N23" si="4">(H23-K23)/K23</f>
        <v>0</v>
      </c>
      <c r="O23" s="674"/>
      <c r="P23" s="466"/>
      <c r="Q23" s="620" t="s">
        <v>657</v>
      </c>
      <c r="R23" s="349"/>
      <c r="S23" s="349"/>
      <c r="T23" s="349"/>
    </row>
    <row r="24" spans="2:29" s="43" customFormat="1" ht="20.25" x14ac:dyDescent="0.2">
      <c r="B24" s="42"/>
      <c r="C24" s="42"/>
      <c r="D24" s="46" t="s">
        <v>21</v>
      </c>
      <c r="E24" s="46"/>
      <c r="F24" s="46"/>
      <c r="G24" s="42"/>
      <c r="H24" s="150">
        <v>6139.2</v>
      </c>
      <c r="I24" s="150">
        <v>6424.91</v>
      </c>
      <c r="J24" s="150"/>
      <c r="K24" s="150">
        <v>3150</v>
      </c>
      <c r="L24" s="150">
        <v>125.05</v>
      </c>
      <c r="M24" s="260">
        <f t="shared" si="1"/>
        <v>2989.2</v>
      </c>
      <c r="N24" s="675">
        <f t="shared" si="2"/>
        <v>0.94895238095238088</v>
      </c>
      <c r="O24" s="674" t="s">
        <v>658</v>
      </c>
      <c r="P24" s="466"/>
      <c r="Q24" s="620" t="s">
        <v>659</v>
      </c>
      <c r="R24" s="349"/>
      <c r="S24" s="349"/>
      <c r="T24" s="349"/>
    </row>
    <row r="25" spans="2:29" s="43" customFormat="1" ht="20.25" x14ac:dyDescent="0.2">
      <c r="B25" s="42"/>
      <c r="C25" s="42"/>
      <c r="D25" s="46" t="s">
        <v>22</v>
      </c>
      <c r="E25" s="46"/>
      <c r="F25" s="46"/>
      <c r="G25" s="42"/>
      <c r="H25" s="150">
        <f>3454.37-1308.83</f>
        <v>2145.54</v>
      </c>
      <c r="I25" s="150">
        <v>33020.949999999997</v>
      </c>
      <c r="J25" s="150"/>
      <c r="K25" s="150">
        <v>3951</v>
      </c>
      <c r="L25" s="150">
        <v>447.13</v>
      </c>
      <c r="M25" s="260">
        <f t="shared" si="1"/>
        <v>-1805.46</v>
      </c>
      <c r="N25" s="675">
        <f t="shared" si="2"/>
        <v>-0.45696279422930902</v>
      </c>
      <c r="O25" s="674" t="s">
        <v>660</v>
      </c>
      <c r="P25" s="466"/>
      <c r="Q25" s="620" t="s">
        <v>661</v>
      </c>
      <c r="R25" s="349"/>
      <c r="S25" s="350">
        <f>1215-623</f>
        <v>592</v>
      </c>
      <c r="T25" s="349"/>
    </row>
    <row r="26" spans="2:29" s="43" customFormat="1" ht="20.25" x14ac:dyDescent="0.2">
      <c r="B26" s="42"/>
      <c r="C26" s="42"/>
      <c r="D26" s="46" t="s">
        <v>662</v>
      </c>
      <c r="E26" s="46"/>
      <c r="F26" s="46"/>
      <c r="G26" s="42"/>
      <c r="H26" s="150">
        <v>12700</v>
      </c>
      <c r="I26" s="150">
        <v>9401.17</v>
      </c>
      <c r="J26" s="150"/>
      <c r="K26" s="150">
        <v>5538</v>
      </c>
      <c r="L26" s="150">
        <v>655.09</v>
      </c>
      <c r="M26" s="260">
        <f>H26-K26</f>
        <v>7162</v>
      </c>
      <c r="N26" s="675">
        <f>(H26-K26)/K26</f>
        <v>1.2932466594438425</v>
      </c>
      <c r="O26" s="674" t="s">
        <v>663</v>
      </c>
      <c r="P26" s="466"/>
      <c r="Q26" s="620" t="s">
        <v>664</v>
      </c>
      <c r="S26" s="350"/>
      <c r="T26" s="349"/>
    </row>
    <row r="27" spans="2:29" s="43" customFormat="1" ht="20.25" x14ac:dyDescent="0.2">
      <c r="B27" s="42"/>
      <c r="C27" s="42"/>
      <c r="D27" s="46" t="s">
        <v>665</v>
      </c>
      <c r="E27" s="46"/>
      <c r="F27" s="46"/>
      <c r="G27" s="42"/>
      <c r="H27" s="150">
        <v>53476.51</v>
      </c>
      <c r="I27" s="150">
        <v>18047.73</v>
      </c>
      <c r="J27" s="150"/>
      <c r="K27" s="150">
        <v>54580</v>
      </c>
      <c r="L27" s="150">
        <v>14369.43</v>
      </c>
      <c r="M27" s="260">
        <f t="shared" si="1"/>
        <v>-1103.489999999998</v>
      </c>
      <c r="N27" s="675">
        <f t="shared" si="2"/>
        <v>-2.0217845364602381E-2</v>
      </c>
      <c r="O27" s="674">
        <v>0</v>
      </c>
      <c r="P27" s="466"/>
      <c r="Q27" s="620" t="s">
        <v>666</v>
      </c>
      <c r="R27" s="350"/>
      <c r="S27" s="349"/>
      <c r="T27" s="350"/>
    </row>
    <row r="28" spans="2:29" s="43" customFormat="1" ht="20.25" x14ac:dyDescent="0.2">
      <c r="B28" s="42"/>
      <c r="C28" s="42"/>
      <c r="D28" s="46"/>
      <c r="E28" s="46" t="s">
        <v>33</v>
      </c>
      <c r="F28" s="46"/>
      <c r="G28" s="42"/>
      <c r="H28" s="796">
        <f>SUM(H9:H27)</f>
        <v>1042026.9499999998</v>
      </c>
      <c r="I28" s="796">
        <f>SUM(I9:I27)</f>
        <v>1539364.3899999997</v>
      </c>
      <c r="J28" s="150"/>
      <c r="K28" s="796">
        <f>SUM(K9:K27)</f>
        <v>1008491.4400000001</v>
      </c>
      <c r="L28" s="796">
        <f>SUM(L10:L27)</f>
        <v>247716.47999999998</v>
      </c>
      <c r="M28" s="796">
        <f t="shared" si="1"/>
        <v>33535.509999999776</v>
      </c>
      <c r="N28" s="797">
        <f t="shared" si="2"/>
        <v>3.3253142931981429E-2</v>
      </c>
      <c r="O28" s="674"/>
      <c r="P28" s="466"/>
      <c r="Q28" s="620"/>
      <c r="R28" s="349"/>
      <c r="S28" s="349"/>
      <c r="T28" s="349"/>
    </row>
    <row r="29" spans="2:29" s="43" customFormat="1" ht="21" thickBot="1" x14ac:dyDescent="0.25">
      <c r="B29" s="42"/>
      <c r="C29" s="42"/>
      <c r="D29" s="46" t="s">
        <v>667</v>
      </c>
      <c r="E29" s="46"/>
      <c r="F29" s="46"/>
      <c r="G29" s="42"/>
      <c r="H29" s="157">
        <v>50685.43</v>
      </c>
      <c r="I29" s="157">
        <v>83159.789999999994</v>
      </c>
      <c r="J29" s="150"/>
      <c r="K29" s="157">
        <v>54528</v>
      </c>
      <c r="L29" s="157">
        <v>13839</v>
      </c>
      <c r="M29" s="157">
        <f t="shared" si="1"/>
        <v>-3842.5699999999997</v>
      </c>
      <c r="N29" s="677">
        <f t="shared" si="2"/>
        <v>-7.0469666960093894E-2</v>
      </c>
      <c r="O29" s="674"/>
      <c r="P29" s="466"/>
      <c r="Q29" s="620"/>
      <c r="R29" s="349"/>
      <c r="S29" s="351"/>
      <c r="T29" s="349"/>
    </row>
    <row r="30" spans="2:29" s="43" customFormat="1" ht="20.25" x14ac:dyDescent="0.2">
      <c r="B30" s="42"/>
      <c r="C30" s="42"/>
      <c r="D30" s="46"/>
      <c r="E30" s="42" t="s">
        <v>111</v>
      </c>
      <c r="F30" s="46"/>
      <c r="G30" s="42"/>
      <c r="H30" s="153">
        <f>SUM(H28:H29)</f>
        <v>1092712.3799999999</v>
      </c>
      <c r="I30" s="153">
        <f>SUM(I28:I29)</f>
        <v>1622524.1799999997</v>
      </c>
      <c r="J30" s="153"/>
      <c r="K30" s="153">
        <f>SUM(K28:K29)</f>
        <v>1063019.44</v>
      </c>
      <c r="L30" s="153">
        <f>SUM(L28:L29)</f>
        <v>261555.47999999998</v>
      </c>
      <c r="M30" s="798">
        <f t="shared" si="1"/>
        <v>29692.939999999944</v>
      </c>
      <c r="N30" s="799">
        <f t="shared" si="2"/>
        <v>2.7932640629789372E-2</v>
      </c>
      <c r="O30" s="674"/>
      <c r="P30" s="466"/>
      <c r="Q30" s="620">
        <v>283451.46999999997</v>
      </c>
      <c r="R30" s="351">
        <f>L30-Q30</f>
        <v>-21895.989999999991</v>
      </c>
      <c r="S30" s="351">
        <v>239476.43</v>
      </c>
      <c r="T30" s="350">
        <f>H30-S30</f>
        <v>853235.95</v>
      </c>
      <c r="X30" s="43">
        <v>1622523.14</v>
      </c>
      <c r="Y30" s="161">
        <f>I30-X30</f>
        <v>1.0399999998044223</v>
      </c>
      <c r="Z30" s="43">
        <v>1094020.8899999999</v>
      </c>
      <c r="AA30" s="161">
        <f>H30-Z30</f>
        <v>-1308.5100000000093</v>
      </c>
      <c r="AB30" s="236">
        <v>1091020.8899999999</v>
      </c>
      <c r="AC30" s="236">
        <f>H30-AB30</f>
        <v>1691.4899999999907</v>
      </c>
    </row>
    <row r="31" spans="2:29" s="43" customFormat="1" ht="6" customHeight="1" x14ac:dyDescent="0.2">
      <c r="B31" s="42"/>
      <c r="C31" s="42"/>
      <c r="D31" s="46"/>
      <c r="E31" s="42"/>
      <c r="F31" s="46"/>
      <c r="G31" s="42"/>
      <c r="H31" s="150"/>
      <c r="I31" s="150"/>
      <c r="J31" s="150"/>
      <c r="K31" s="150"/>
      <c r="L31" s="252"/>
      <c r="M31" s="264"/>
      <c r="N31" s="338"/>
      <c r="O31" s="674"/>
      <c r="P31" s="466"/>
      <c r="Q31" s="620"/>
      <c r="R31" s="349"/>
      <c r="S31" s="349"/>
      <c r="T31" s="349"/>
    </row>
    <row r="32" spans="2:29" s="43" customFormat="1" ht="21" thickBot="1" x14ac:dyDescent="0.25">
      <c r="B32" s="42"/>
      <c r="C32" s="54" t="s">
        <v>34</v>
      </c>
      <c r="D32" s="54"/>
      <c r="E32" s="54"/>
      <c r="F32" s="54"/>
      <c r="G32" s="54"/>
      <c r="H32" s="157"/>
      <c r="I32" s="157"/>
      <c r="K32" s="157"/>
      <c r="L32" s="266"/>
      <c r="M32" s="266"/>
      <c r="N32" s="339"/>
      <c r="O32" s="760"/>
      <c r="P32" s="466"/>
    </row>
    <row r="33" spans="2:19" s="43" customFormat="1" ht="20.25" x14ac:dyDescent="0.2">
      <c r="B33" s="42"/>
      <c r="C33" s="42"/>
      <c r="D33" s="46" t="s">
        <v>35</v>
      </c>
      <c r="E33" s="46"/>
      <c r="F33" s="46"/>
      <c r="G33" s="46"/>
      <c r="H33" s="150">
        <v>611088.5</v>
      </c>
      <c r="I33" s="787">
        <v>912497.57</v>
      </c>
      <c r="J33" s="181"/>
      <c r="K33" s="150">
        <v>576828</v>
      </c>
      <c r="L33" s="150">
        <v>141371.62</v>
      </c>
      <c r="M33" s="181">
        <f t="shared" ref="M33:M53" si="5">H33-K33</f>
        <v>34260.5</v>
      </c>
      <c r="N33" s="675">
        <f t="shared" ref="N33:N53" si="6">(H33-K33)/K33</f>
        <v>5.9394654905795138E-2</v>
      </c>
      <c r="O33" s="674"/>
      <c r="P33" s="466"/>
    </row>
    <row r="34" spans="2:19" s="43" customFormat="1" ht="20.25" x14ac:dyDescent="0.2">
      <c r="B34" s="42"/>
      <c r="C34" s="42"/>
      <c r="D34" s="46" t="s">
        <v>36</v>
      </c>
      <c r="E34" s="46"/>
      <c r="F34" s="46"/>
      <c r="G34" s="46"/>
      <c r="H34" s="150">
        <v>123697.5</v>
      </c>
      <c r="I34" s="787">
        <v>202741.02</v>
      </c>
      <c r="J34" s="181"/>
      <c r="K34" s="150">
        <v>121422</v>
      </c>
      <c r="L34" s="150">
        <v>34051</v>
      </c>
      <c r="M34" s="181">
        <f t="shared" si="5"/>
        <v>2275.5</v>
      </c>
      <c r="N34" s="675">
        <f t="shared" si="6"/>
        <v>1.8740425952463311E-2</v>
      </c>
      <c r="O34" s="674"/>
      <c r="P34" s="466"/>
    </row>
    <row r="35" spans="2:19" s="43" customFormat="1" ht="20.25" x14ac:dyDescent="0.2">
      <c r="B35" s="42"/>
      <c r="C35" s="42"/>
      <c r="D35" s="46" t="s">
        <v>46</v>
      </c>
      <c r="E35" s="46"/>
      <c r="F35" s="46"/>
      <c r="G35" s="46"/>
      <c r="H35" s="150">
        <v>24000</v>
      </c>
      <c r="I35" s="787">
        <v>24775</v>
      </c>
      <c r="J35" s="181"/>
      <c r="K35" s="150">
        <v>22500</v>
      </c>
      <c r="L35" s="150">
        <v>13500</v>
      </c>
      <c r="M35" s="181">
        <f t="shared" si="5"/>
        <v>1500</v>
      </c>
      <c r="N35" s="675">
        <f t="shared" si="6"/>
        <v>6.6666666666666666E-2</v>
      </c>
      <c r="O35" s="674"/>
      <c r="P35" s="466"/>
    </row>
    <row r="36" spans="2:19" s="43" customFormat="1" ht="20.25" x14ac:dyDescent="0.2">
      <c r="B36" s="42"/>
      <c r="C36" s="42"/>
      <c r="D36" s="814" t="s">
        <v>47</v>
      </c>
      <c r="E36" s="814"/>
      <c r="F36" s="814"/>
      <c r="G36" s="814"/>
      <c r="H36" s="150"/>
      <c r="I36" s="787">
        <f>651.5+1211.56</f>
        <v>1863.06</v>
      </c>
      <c r="J36" s="181"/>
      <c r="K36" s="150">
        <v>591.5</v>
      </c>
      <c r="L36" s="150">
        <v>98</v>
      </c>
      <c r="M36" s="181">
        <f t="shared" si="5"/>
        <v>-591.5</v>
      </c>
      <c r="N36" s="675">
        <f t="shared" si="6"/>
        <v>-1</v>
      </c>
      <c r="O36" s="674"/>
      <c r="P36" s="466"/>
    </row>
    <row r="37" spans="2:19" s="43" customFormat="1" ht="20.25" x14ac:dyDescent="0.2">
      <c r="B37" s="42"/>
      <c r="C37" s="42"/>
      <c r="D37" s="46" t="s">
        <v>53</v>
      </c>
      <c r="E37" s="46"/>
      <c r="F37" s="46"/>
      <c r="G37" s="46"/>
      <c r="H37" s="150">
        <f>31728.81+565+199.4</f>
        <v>32493.210000000003</v>
      </c>
      <c r="I37" s="787">
        <v>54325.66</v>
      </c>
      <c r="J37" s="150"/>
      <c r="K37" s="150">
        <v>39856.639999999999</v>
      </c>
      <c r="L37" s="150">
        <f>11159.71-47.98-22.29</f>
        <v>11089.439999999999</v>
      </c>
      <c r="M37" s="181">
        <f t="shared" si="5"/>
        <v>-7363.4299999999967</v>
      </c>
      <c r="N37" s="675">
        <f t="shared" si="6"/>
        <v>-0.18474788642494694</v>
      </c>
      <c r="O37" s="674" t="s">
        <v>668</v>
      </c>
      <c r="P37" s="466"/>
    </row>
    <row r="38" spans="2:19" s="43" customFormat="1" ht="20.25" x14ac:dyDescent="0.2">
      <c r="B38" s="42"/>
      <c r="C38" s="42"/>
      <c r="D38" s="46" t="s">
        <v>48</v>
      </c>
      <c r="E38" s="46"/>
      <c r="F38" s="46"/>
      <c r="G38" s="46"/>
      <c r="H38" s="150">
        <v>17003.71</v>
      </c>
      <c r="I38" s="787">
        <v>26136</v>
      </c>
      <c r="J38" s="182"/>
      <c r="K38" s="150">
        <v>19023.13</v>
      </c>
      <c r="L38" s="150">
        <v>4102.96</v>
      </c>
      <c r="M38" s="181">
        <f t="shared" si="5"/>
        <v>-2019.4200000000019</v>
      </c>
      <c r="N38" s="675">
        <f t="shared" si="6"/>
        <v>-0.10615603215664308</v>
      </c>
      <c r="O38" s="674"/>
      <c r="P38" s="466"/>
    </row>
    <row r="39" spans="2:19" s="43" customFormat="1" ht="20.25" x14ac:dyDescent="0.2">
      <c r="B39" s="42"/>
      <c r="C39" s="42"/>
      <c r="D39" s="46" t="s">
        <v>42</v>
      </c>
      <c r="E39" s="46"/>
      <c r="F39" s="46"/>
      <c r="G39" s="46"/>
      <c r="H39" s="150">
        <v>452.53</v>
      </c>
      <c r="I39" s="787">
        <v>2260.62</v>
      </c>
      <c r="J39" s="181"/>
      <c r="K39" s="150">
        <v>1788.6669999999999</v>
      </c>
      <c r="L39" s="150"/>
      <c r="M39" s="181">
        <f t="shared" si="5"/>
        <v>-1336.1369999999999</v>
      </c>
      <c r="N39" s="675">
        <f t="shared" si="6"/>
        <v>-0.74700153801685831</v>
      </c>
      <c r="O39" s="674"/>
      <c r="P39" s="466"/>
    </row>
    <row r="40" spans="2:19" s="43" customFormat="1" ht="20.25" x14ac:dyDescent="0.2">
      <c r="B40" s="42"/>
      <c r="C40" s="42"/>
      <c r="D40" s="46" t="s">
        <v>41</v>
      </c>
      <c r="E40" s="46"/>
      <c r="F40" s="46"/>
      <c r="G40" s="46"/>
      <c r="H40" s="150">
        <f>3664.06+131.51</f>
        <v>3795.5699999999997</v>
      </c>
      <c r="I40" s="787">
        <f>3891.69+21.75</f>
        <v>3913.44</v>
      </c>
      <c r="J40" s="181"/>
      <c r="K40" s="150">
        <v>2233.77</v>
      </c>
      <c r="L40" s="150">
        <v>871.65</v>
      </c>
      <c r="M40" s="181">
        <f t="shared" si="5"/>
        <v>1561.7999999999997</v>
      </c>
      <c r="N40" s="675">
        <f t="shared" si="6"/>
        <v>0.69917672813226062</v>
      </c>
      <c r="O40" s="674"/>
      <c r="P40" s="466"/>
    </row>
    <row r="41" spans="2:19" s="43" customFormat="1" ht="20.25" x14ac:dyDescent="0.2">
      <c r="B41" s="42"/>
      <c r="C41" s="42"/>
      <c r="D41" s="46" t="s">
        <v>43</v>
      </c>
      <c r="E41" s="46"/>
      <c r="F41" s="46"/>
      <c r="G41" s="46"/>
      <c r="H41" s="334">
        <f>8409.13+6839.23</f>
        <v>15248.359999999999</v>
      </c>
      <c r="I41" s="787">
        <f>16296.82+10057.7</f>
        <v>26354.52</v>
      </c>
      <c r="J41" s="181"/>
      <c r="K41" s="150">
        <f>12842.08+5804.23</f>
        <v>18646.309999999998</v>
      </c>
      <c r="L41" s="150">
        <f>2541.52+1646.3</f>
        <v>4187.82</v>
      </c>
      <c r="M41" s="181">
        <f t="shared" si="5"/>
        <v>-3397.9499999999989</v>
      </c>
      <c r="N41" s="675">
        <f t="shared" si="6"/>
        <v>-0.18223176596334606</v>
      </c>
      <c r="O41" s="674" t="s">
        <v>669</v>
      </c>
      <c r="P41" s="466"/>
    </row>
    <row r="42" spans="2:19" s="43" customFormat="1" ht="20.25" x14ac:dyDescent="0.2">
      <c r="B42" s="42"/>
      <c r="C42" s="42"/>
      <c r="D42" s="46" t="s">
        <v>39</v>
      </c>
      <c r="E42" s="46"/>
      <c r="F42" s="46"/>
      <c r="G42" s="46"/>
      <c r="H42" s="150">
        <v>8719.8700000000008</v>
      </c>
      <c r="I42" s="787">
        <v>19087</v>
      </c>
      <c r="J42" s="181"/>
      <c r="K42" s="150">
        <v>13163.23</v>
      </c>
      <c r="L42" s="150">
        <v>3297.26</v>
      </c>
      <c r="M42" s="181">
        <f t="shared" si="5"/>
        <v>-4443.3599999999988</v>
      </c>
      <c r="N42" s="675">
        <f t="shared" si="6"/>
        <v>-0.3375584867847784</v>
      </c>
      <c r="O42" s="674" t="s">
        <v>670</v>
      </c>
      <c r="P42" s="466"/>
      <c r="Q42" s="620"/>
      <c r="R42" s="349"/>
      <c r="S42" s="349"/>
    </row>
    <row r="43" spans="2:19" s="43" customFormat="1" ht="20.25" x14ac:dyDescent="0.2">
      <c r="B43" s="42"/>
      <c r="C43" s="42"/>
      <c r="D43" s="46" t="s">
        <v>40</v>
      </c>
      <c r="E43" s="46"/>
      <c r="F43" s="46"/>
      <c r="G43" s="46"/>
      <c r="H43" s="150">
        <v>2104.2199999999998</v>
      </c>
      <c r="I43" s="787">
        <v>3328.5</v>
      </c>
      <c r="J43" s="181"/>
      <c r="K43" s="150">
        <v>1873.58</v>
      </c>
      <c r="L43" s="150">
        <v>633</v>
      </c>
      <c r="M43" s="181">
        <f t="shared" si="5"/>
        <v>230.63999999999987</v>
      </c>
      <c r="N43" s="675">
        <f t="shared" si="6"/>
        <v>0.12310122866384135</v>
      </c>
      <c r="O43" s="674"/>
      <c r="P43" s="466"/>
    </row>
    <row r="44" spans="2:19" s="43" customFormat="1" ht="20.25" x14ac:dyDescent="0.2">
      <c r="B44" s="42"/>
      <c r="C44" s="42"/>
      <c r="D44" s="46" t="s">
        <v>55</v>
      </c>
      <c r="E44" s="46"/>
      <c r="F44" s="46"/>
      <c r="G44" s="46"/>
      <c r="H44" s="150">
        <f>5750.4+1084.21</f>
        <v>6834.61</v>
      </c>
      <c r="I44" s="787">
        <f>7233.4+20475.5</f>
        <v>27708.9</v>
      </c>
      <c r="J44" s="150"/>
      <c r="K44" s="150">
        <f>7233.4+20230.5+22</f>
        <v>27485.9</v>
      </c>
      <c r="L44" s="150">
        <f>2025+7500</f>
        <v>9525</v>
      </c>
      <c r="M44" s="181">
        <f t="shared" si="5"/>
        <v>-20651.29</v>
      </c>
      <c r="N44" s="675">
        <f t="shared" si="6"/>
        <v>-0.75134123314135615</v>
      </c>
      <c r="O44" s="674" t="s">
        <v>671</v>
      </c>
      <c r="P44" s="466"/>
    </row>
    <row r="45" spans="2:19" s="43" customFormat="1" ht="20.25" x14ac:dyDescent="0.2">
      <c r="B45" s="42"/>
      <c r="C45" s="42"/>
      <c r="D45" s="46" t="s">
        <v>44</v>
      </c>
      <c r="E45" s="46"/>
      <c r="F45" s="46"/>
      <c r="G45" s="46"/>
      <c r="H45" s="150">
        <v>6272.53</v>
      </c>
      <c r="I45" s="787">
        <v>5356.36</v>
      </c>
      <c r="J45" s="181"/>
      <c r="K45" s="150">
        <v>2479</v>
      </c>
      <c r="L45" s="150">
        <v>831.48</v>
      </c>
      <c r="M45" s="181">
        <f t="shared" si="5"/>
        <v>3793.5299999999997</v>
      </c>
      <c r="N45" s="675">
        <f t="shared" si="6"/>
        <v>1.5302662363856392</v>
      </c>
      <c r="O45" s="674"/>
      <c r="P45" s="466"/>
    </row>
    <row r="46" spans="2:19" s="43" customFormat="1" ht="20.25" x14ac:dyDescent="0.2">
      <c r="B46" s="42"/>
      <c r="C46" s="42"/>
      <c r="D46" s="46" t="s">
        <v>51</v>
      </c>
      <c r="E46" s="46"/>
      <c r="F46" s="46"/>
      <c r="G46" s="46"/>
      <c r="H46" s="150"/>
      <c r="I46" s="787">
        <v>397.29</v>
      </c>
      <c r="J46" s="150"/>
      <c r="K46" s="150">
        <v>347.29</v>
      </c>
      <c r="L46" s="150">
        <v>22.29</v>
      </c>
      <c r="M46" s="181">
        <f t="shared" si="5"/>
        <v>-347.29</v>
      </c>
      <c r="N46" s="675">
        <f t="shared" si="6"/>
        <v>-1</v>
      </c>
      <c r="O46" s="674"/>
      <c r="P46" s="466"/>
    </row>
    <row r="47" spans="2:19" s="43" customFormat="1" ht="20.25" x14ac:dyDescent="0.2">
      <c r="B47" s="42"/>
      <c r="C47" s="42"/>
      <c r="D47" s="46" t="s">
        <v>37</v>
      </c>
      <c r="E47" s="46"/>
      <c r="F47" s="46"/>
      <c r="G47" s="46"/>
      <c r="H47" s="150">
        <f>150*8</f>
        <v>1200</v>
      </c>
      <c r="I47" s="787">
        <f>150*12</f>
        <v>1800</v>
      </c>
      <c r="J47" s="181"/>
      <c r="K47" s="150">
        <f>150*8</f>
        <v>1200</v>
      </c>
      <c r="L47" s="150">
        <v>300</v>
      </c>
      <c r="M47" s="181">
        <f t="shared" si="5"/>
        <v>0</v>
      </c>
      <c r="N47" s="675">
        <f t="shared" si="6"/>
        <v>0</v>
      </c>
      <c r="O47" s="674"/>
      <c r="P47" s="466"/>
    </row>
    <row r="48" spans="2:19" s="43" customFormat="1" ht="20.25" x14ac:dyDescent="0.2">
      <c r="B48" s="42"/>
      <c r="C48" s="42"/>
      <c r="D48" s="46" t="s">
        <v>38</v>
      </c>
      <c r="E48" s="46"/>
      <c r="F48" s="46"/>
      <c r="G48" s="46"/>
      <c r="H48" s="150">
        <f>H23</f>
        <v>35160</v>
      </c>
      <c r="I48" s="787">
        <f>I23</f>
        <v>52740</v>
      </c>
      <c r="J48" s="181"/>
      <c r="K48" s="150">
        <f>K23</f>
        <v>35160</v>
      </c>
      <c r="L48" s="150" t="e">
        <f>#REF!</f>
        <v>#REF!</v>
      </c>
      <c r="M48" s="181">
        <f t="shared" si="5"/>
        <v>0</v>
      </c>
      <c r="N48" s="675">
        <f t="shared" si="6"/>
        <v>0</v>
      </c>
      <c r="O48" s="674"/>
      <c r="P48" s="466"/>
    </row>
    <row r="49" spans="2:29" s="43" customFormat="1" ht="20.25" x14ac:dyDescent="0.2">
      <c r="B49" s="42"/>
      <c r="C49" s="42"/>
      <c r="D49" s="46" t="s">
        <v>54</v>
      </c>
      <c r="E49" s="46"/>
      <c r="F49" s="46"/>
      <c r="G49" s="46"/>
      <c r="H49" s="150">
        <v>53619.6</v>
      </c>
      <c r="I49" s="787">
        <v>62687.31</v>
      </c>
      <c r="J49" s="150"/>
      <c r="K49" s="150">
        <v>43835.91</v>
      </c>
      <c r="L49" s="150">
        <v>8083.41</v>
      </c>
      <c r="M49" s="181">
        <f t="shared" si="5"/>
        <v>9783.6899999999951</v>
      </c>
      <c r="N49" s="675">
        <f t="shared" si="6"/>
        <v>0.22318893345661112</v>
      </c>
      <c r="O49" s="674" t="s">
        <v>672</v>
      </c>
      <c r="R49" s="349"/>
      <c r="S49" s="349"/>
    </row>
    <row r="50" spans="2:29" s="43" customFormat="1" ht="20.25" x14ac:dyDescent="0.2">
      <c r="B50" s="42"/>
      <c r="C50" s="42"/>
      <c r="D50" s="46" t="s">
        <v>52</v>
      </c>
      <c r="E50" s="46"/>
      <c r="F50" s="46"/>
      <c r="G50" s="46"/>
      <c r="H50" s="150">
        <v>3489.71</v>
      </c>
      <c r="I50" s="787">
        <v>4896.6499999999996</v>
      </c>
      <c r="J50" s="150"/>
      <c r="K50" s="150">
        <v>3165.22</v>
      </c>
      <c r="L50" s="150">
        <v>366</v>
      </c>
      <c r="M50" s="181">
        <f t="shared" si="5"/>
        <v>324.49000000000024</v>
      </c>
      <c r="N50" s="675">
        <f t="shared" si="6"/>
        <v>0.102517360562615</v>
      </c>
      <c r="O50" s="674"/>
      <c r="P50" s="466"/>
      <c r="Q50" s="531"/>
      <c r="R50" s="349"/>
      <c r="S50" s="349"/>
    </row>
    <row r="51" spans="2:29" s="43" customFormat="1" ht="20.25" x14ac:dyDescent="0.2">
      <c r="B51" s="42"/>
      <c r="C51" s="42"/>
      <c r="D51" s="46" t="s">
        <v>50</v>
      </c>
      <c r="E51" s="46"/>
      <c r="F51" s="46"/>
      <c r="G51" s="46"/>
      <c r="H51" s="150">
        <v>3210.62</v>
      </c>
      <c r="I51" s="787">
        <v>1006.17</v>
      </c>
      <c r="J51" s="150"/>
      <c r="K51" s="150">
        <v>498.5</v>
      </c>
      <c r="L51" s="150">
        <v>348.5</v>
      </c>
      <c r="M51" s="181">
        <f t="shared" si="5"/>
        <v>2712.12</v>
      </c>
      <c r="N51" s="675">
        <f t="shared" si="6"/>
        <v>5.4405616850551652</v>
      </c>
      <c r="O51" s="674" t="s">
        <v>673</v>
      </c>
      <c r="P51" s="466"/>
      <c r="Q51" s="531"/>
      <c r="R51" s="349"/>
      <c r="S51" s="349"/>
    </row>
    <row r="52" spans="2:29" s="43" customFormat="1" ht="20.25" x14ac:dyDescent="0.2">
      <c r="B52" s="42"/>
      <c r="C52" s="42"/>
      <c r="D52" s="46" t="s">
        <v>49</v>
      </c>
      <c r="E52" s="46"/>
      <c r="F52" s="46"/>
      <c r="G52" s="46"/>
      <c r="H52" s="150">
        <v>19509.75</v>
      </c>
      <c r="I52" s="787">
        <v>27058</v>
      </c>
      <c r="J52" s="150"/>
      <c r="K52" s="150">
        <v>17935.599999999999</v>
      </c>
      <c r="L52" s="150">
        <v>4298</v>
      </c>
      <c r="M52" s="181">
        <f t="shared" si="5"/>
        <v>1574.1500000000015</v>
      </c>
      <c r="N52" s="675">
        <f t="shared" si="6"/>
        <v>8.776678784094212E-2</v>
      </c>
      <c r="O52" s="674" t="s">
        <v>674</v>
      </c>
    </row>
    <row r="53" spans="2:29" s="43" customFormat="1" ht="20.25" x14ac:dyDescent="0.2">
      <c r="B53" s="42"/>
      <c r="C53" s="42"/>
      <c r="D53" s="46" t="s">
        <v>45</v>
      </c>
      <c r="E53" s="46"/>
      <c r="F53" s="46"/>
      <c r="G53" s="46"/>
      <c r="H53" s="150">
        <f>1359-50.49</f>
        <v>1308.51</v>
      </c>
      <c r="I53" s="787">
        <v>1109.08</v>
      </c>
      <c r="J53" s="181"/>
      <c r="K53" s="150">
        <v>814</v>
      </c>
      <c r="L53" s="150">
        <v>283</v>
      </c>
      <c r="M53" s="181">
        <f t="shared" si="5"/>
        <v>494.51</v>
      </c>
      <c r="N53" s="675">
        <f t="shared" si="6"/>
        <v>0.60750614250614254</v>
      </c>
      <c r="O53" s="674"/>
      <c r="P53" s="466"/>
    </row>
    <row r="54" spans="2:29" s="43" customFormat="1" ht="20.25" x14ac:dyDescent="0.2">
      <c r="B54" s="42"/>
      <c r="C54" s="42"/>
      <c r="D54" s="46" t="s">
        <v>69</v>
      </c>
      <c r="E54" s="46"/>
      <c r="F54" s="46"/>
      <c r="G54" s="46"/>
      <c r="H54" s="150">
        <v>33564.76</v>
      </c>
      <c r="I54" s="787">
        <f>49068+3859</f>
        <v>52927</v>
      </c>
      <c r="J54" s="150"/>
      <c r="K54" s="150">
        <v>32712</v>
      </c>
      <c r="L54" s="150">
        <v>8178</v>
      </c>
      <c r="M54" s="181">
        <f t="shared" ref="M54:M55" si="7">H54-K54</f>
        <v>852.76000000000204</v>
      </c>
      <c r="N54" s="675">
        <f t="shared" ref="N54:N55" si="8">(H54-K54)/K54</f>
        <v>2.6068720958669665E-2</v>
      </c>
      <c r="O54" s="674"/>
      <c r="P54" s="466"/>
      <c r="S54" s="349"/>
    </row>
    <row r="55" spans="2:29" s="43" customFormat="1" ht="21" thickBot="1" x14ac:dyDescent="0.25">
      <c r="B55" s="46"/>
      <c r="C55" s="46"/>
      <c r="D55" s="46" t="s">
        <v>675</v>
      </c>
      <c r="E55" s="46"/>
      <c r="F55" s="46"/>
      <c r="G55" s="46"/>
      <c r="H55" s="150">
        <v>5002.47</v>
      </c>
      <c r="I55" s="787">
        <v>7493.88</v>
      </c>
      <c r="J55" s="150"/>
      <c r="K55" s="150">
        <v>4995.92</v>
      </c>
      <c r="L55" s="150">
        <v>1248.98</v>
      </c>
      <c r="M55" s="181">
        <f t="shared" si="7"/>
        <v>6.5500000000001819</v>
      </c>
      <c r="N55" s="675">
        <f t="shared" si="8"/>
        <v>1.3110698329837512E-3</v>
      </c>
      <c r="O55" s="674"/>
      <c r="P55" s="466"/>
      <c r="Q55" s="620"/>
      <c r="R55" s="349"/>
      <c r="S55" s="349"/>
    </row>
    <row r="56" spans="2:29" s="43" customFormat="1" ht="20.25" x14ac:dyDescent="0.2">
      <c r="B56" s="42"/>
      <c r="C56" s="42"/>
      <c r="D56" s="42"/>
      <c r="E56" s="42" t="s">
        <v>68</v>
      </c>
      <c r="F56" s="42"/>
      <c r="G56" s="42"/>
      <c r="H56" s="727">
        <f>SUM(H33:H55)</f>
        <v>1007776.0299999998</v>
      </c>
      <c r="I56" s="727">
        <f>SUM(I33:I55)</f>
        <v>1522463.0299999998</v>
      </c>
      <c r="J56" s="150"/>
      <c r="K56" s="727">
        <f>SUM(K33:K55)</f>
        <v>988556.16700000002</v>
      </c>
      <c r="L56" s="727" t="e">
        <f>SUM(L33:L54)</f>
        <v>#REF!</v>
      </c>
      <c r="M56" s="727">
        <f>H56-K56</f>
        <v>19219.862999999779</v>
      </c>
      <c r="N56" s="761">
        <f>(H56-K56)/K56</f>
        <v>1.9442358099213373E-2</v>
      </c>
      <c r="O56" s="674"/>
      <c r="P56" s="466"/>
      <c r="Q56" s="531">
        <v>255477.41</v>
      </c>
      <c r="R56" s="351">
        <v>223622.9</v>
      </c>
      <c r="S56" s="351">
        <f>H56-R56</f>
        <v>784153.12999999977</v>
      </c>
      <c r="X56" s="43">
        <v>1522463.68</v>
      </c>
      <c r="Y56" s="161">
        <f>I56-X56</f>
        <v>-0.65000000013969839</v>
      </c>
      <c r="Z56" s="43">
        <v>1009084.86</v>
      </c>
      <c r="AA56" s="161">
        <f>H56-Z56-AA30</f>
        <v>-0.3200000001816079</v>
      </c>
      <c r="AB56" s="236">
        <v>1008320.46</v>
      </c>
      <c r="AC56" s="236">
        <f>H56-AB56</f>
        <v>-544.43000000016764</v>
      </c>
    </row>
    <row r="57" spans="2:29" s="43" customFormat="1" ht="10.5" customHeight="1" thickBot="1" x14ac:dyDescent="0.25">
      <c r="B57" s="42"/>
      <c r="C57" s="42"/>
      <c r="D57" s="42"/>
      <c r="E57" s="42"/>
      <c r="F57" s="42"/>
      <c r="G57" s="42"/>
      <c r="H57" s="157"/>
      <c r="I57" s="157"/>
      <c r="J57" s="150"/>
      <c r="K57" s="157"/>
      <c r="L57" s="157"/>
      <c r="M57" s="266"/>
      <c r="N57" s="266"/>
      <c r="O57" s="674"/>
      <c r="P57" s="466"/>
      <c r="Q57" s="531"/>
      <c r="R57" s="349"/>
      <c r="S57" s="349"/>
    </row>
    <row r="58" spans="2:29" s="43" customFormat="1" ht="21" thickBot="1" x14ac:dyDescent="0.25">
      <c r="B58" s="42"/>
      <c r="C58" s="42"/>
      <c r="D58" s="42"/>
      <c r="E58" s="42" t="s">
        <v>130</v>
      </c>
      <c r="F58" s="42"/>
      <c r="G58" s="42"/>
      <c r="H58" s="157">
        <f>H30-H56</f>
        <v>84936.350000000093</v>
      </c>
      <c r="I58" s="157">
        <f>I30-I56</f>
        <v>100061.14999999991</v>
      </c>
      <c r="J58" s="150"/>
      <c r="K58" s="157">
        <f>K30-K56</f>
        <v>74463.272999999928</v>
      </c>
      <c r="L58" s="157" t="e">
        <f>L30-L56</f>
        <v>#REF!</v>
      </c>
      <c r="M58" s="734">
        <f>H58-K58</f>
        <v>10473.077000000165</v>
      </c>
      <c r="N58" s="679">
        <f>(H58-K58)/K58</f>
        <v>0.14064755117600289</v>
      </c>
      <c r="O58" s="674"/>
      <c r="P58" s="466"/>
      <c r="Q58" s="531"/>
      <c r="R58" s="349"/>
      <c r="S58" s="349"/>
    </row>
    <row r="59" spans="2:29" s="43" customFormat="1" ht="11.25" customHeight="1" x14ac:dyDescent="0.2">
      <c r="B59" s="42"/>
      <c r="C59" s="42"/>
      <c r="D59" s="42"/>
      <c r="E59" s="42"/>
      <c r="F59" s="42"/>
      <c r="G59" s="42"/>
      <c r="H59" s="150"/>
      <c r="I59" s="150"/>
      <c r="J59" s="150"/>
      <c r="K59" s="150"/>
      <c r="L59" s="150"/>
      <c r="M59" s="264"/>
      <c r="N59" s="675"/>
      <c r="O59" s="674"/>
      <c r="P59" s="466"/>
      <c r="Q59" s="531"/>
      <c r="R59" s="349"/>
      <c r="S59" s="349"/>
    </row>
    <row r="60" spans="2:29" s="43" customFormat="1" ht="21" thickBot="1" x14ac:dyDescent="0.25">
      <c r="B60" s="46"/>
      <c r="C60" s="54" t="s">
        <v>676</v>
      </c>
      <c r="D60" s="54"/>
      <c r="E60" s="54"/>
      <c r="F60" s="54"/>
      <c r="G60" s="54"/>
      <c r="H60" s="439"/>
      <c r="I60" s="439"/>
      <c r="J60" s="150"/>
      <c r="K60" s="157"/>
      <c r="L60" s="439"/>
      <c r="M60" s="266"/>
      <c r="N60" s="677"/>
      <c r="O60" s="760"/>
      <c r="P60" s="466"/>
      <c r="Q60" s="531"/>
      <c r="R60" s="349"/>
      <c r="S60" s="349"/>
    </row>
    <row r="61" spans="2:29" s="43" customFormat="1" ht="20.25" x14ac:dyDescent="0.2">
      <c r="B61" s="46"/>
      <c r="C61" s="42"/>
      <c r="D61" s="42"/>
      <c r="E61" s="42" t="s">
        <v>677</v>
      </c>
      <c r="F61" s="42"/>
      <c r="G61" s="42"/>
      <c r="H61" s="150"/>
      <c r="I61" s="150"/>
      <c r="J61" s="150"/>
      <c r="K61" s="150"/>
      <c r="L61" s="150"/>
      <c r="M61" s="264"/>
      <c r="N61" s="675"/>
      <c r="O61" s="674"/>
      <c r="P61" s="466"/>
      <c r="Q61" s="531"/>
      <c r="R61" s="349"/>
      <c r="S61" s="349"/>
    </row>
    <row r="62" spans="2:29" s="43" customFormat="1" ht="20.25" x14ac:dyDescent="0.2">
      <c r="B62" s="46"/>
      <c r="C62" s="42"/>
      <c r="D62" s="42"/>
      <c r="E62" s="42"/>
      <c r="F62" s="46" t="s">
        <v>678</v>
      </c>
      <c r="G62" s="42"/>
      <c r="H62" s="150">
        <f>'August''25 Revenues &amp; Expenses'!G52</f>
        <v>52000</v>
      </c>
      <c r="I62" s="150">
        <v>52000</v>
      </c>
      <c r="J62" s="150"/>
      <c r="K62" s="150">
        <v>52000</v>
      </c>
      <c r="L62" s="150">
        <v>52000</v>
      </c>
      <c r="M62" s="181">
        <f>H62-K62</f>
        <v>0</v>
      </c>
      <c r="N62" s="675">
        <f>(H62-K62)/K62</f>
        <v>0</v>
      </c>
      <c r="O62" s="674"/>
      <c r="P62" s="466"/>
      <c r="Q62" s="531" t="s">
        <v>679</v>
      </c>
      <c r="R62" s="349" t="s">
        <v>680</v>
      </c>
      <c r="S62" s="349"/>
    </row>
    <row r="63" spans="2:29" s="43" customFormat="1" ht="20.25" x14ac:dyDescent="0.2">
      <c r="B63" s="46"/>
      <c r="C63" s="42"/>
      <c r="D63" s="42"/>
      <c r="E63" s="42"/>
      <c r="F63" s="46" t="s">
        <v>681</v>
      </c>
      <c r="G63" s="42"/>
      <c r="H63" s="150">
        <f>'August''25 Revenues &amp; Expenses'!G54</f>
        <v>17500</v>
      </c>
      <c r="I63" s="150">
        <v>21000</v>
      </c>
      <c r="J63" s="150"/>
      <c r="K63" s="150">
        <v>21000</v>
      </c>
      <c r="L63" s="150">
        <v>21000</v>
      </c>
      <c r="M63" s="181">
        <f>H63-K63</f>
        <v>-3500</v>
      </c>
      <c r="N63" s="675">
        <f>(H63-K63)/K63</f>
        <v>-0.16666666666666666</v>
      </c>
      <c r="O63" s="674"/>
      <c r="P63" s="466"/>
      <c r="Q63" s="531" t="s">
        <v>679</v>
      </c>
      <c r="R63" s="349" t="s">
        <v>682</v>
      </c>
      <c r="S63" s="349"/>
    </row>
    <row r="64" spans="2:29" s="43" customFormat="1" ht="20.25" x14ac:dyDescent="0.2">
      <c r="B64" s="46"/>
      <c r="C64" s="42"/>
      <c r="D64" s="42"/>
      <c r="E64" s="42"/>
      <c r="F64" s="46" t="s">
        <v>683</v>
      </c>
      <c r="G64" s="42"/>
      <c r="H64" s="150">
        <f>'August''25 Revenues &amp; Expenses'!J45+'August''25 Revenues &amp; Expenses'!L54+'August''25 Revenues &amp; Expenses'!L62</f>
        <v>47500.026666666665</v>
      </c>
      <c r="I64" s="150">
        <v>0</v>
      </c>
      <c r="J64" s="150"/>
      <c r="K64" s="150">
        <v>7979</v>
      </c>
      <c r="L64" s="150">
        <f>14285.75+7500+1500-13092-1000</f>
        <v>9193.75</v>
      </c>
      <c r="M64" s="181">
        <f>H64-K64</f>
        <v>39521.026666666665</v>
      </c>
      <c r="N64" s="675">
        <f>(H64-K64)/K64</f>
        <v>4.953130300371809</v>
      </c>
      <c r="O64" s="674"/>
      <c r="P64" s="466"/>
      <c r="Q64" s="531" t="s">
        <v>679</v>
      </c>
      <c r="R64" s="349" t="s">
        <v>270</v>
      </c>
    </row>
    <row r="65" spans="2:18" s="43" customFormat="1" ht="20.25" x14ac:dyDescent="0.2">
      <c r="B65" s="46"/>
      <c r="C65" s="42"/>
      <c r="D65" s="42"/>
      <c r="E65" s="42"/>
      <c r="F65" s="46" t="s">
        <v>684</v>
      </c>
      <c r="G65" s="42"/>
      <c r="H65" s="152">
        <f>'August''25 Revenues &amp; Expenses'!L60+'August''25 Revenues &amp; Expenses'!L61</f>
        <v>23254.590000000004</v>
      </c>
      <c r="I65" s="152">
        <v>7000</v>
      </c>
      <c r="J65" s="152"/>
      <c r="K65" s="152">
        <v>7000</v>
      </c>
      <c r="L65" s="152">
        <f>33.81+5000+2000</f>
        <v>7033.81</v>
      </c>
      <c r="M65" s="181">
        <f>H65-K65</f>
        <v>16254.590000000004</v>
      </c>
      <c r="N65" s="675"/>
      <c r="O65" s="674"/>
      <c r="P65" s="466"/>
      <c r="Q65" s="531" t="s">
        <v>679</v>
      </c>
      <c r="R65" s="349" t="s">
        <v>271</v>
      </c>
    </row>
    <row r="66" spans="2:18" s="43" customFormat="1" ht="21" thickBot="1" x14ac:dyDescent="0.25">
      <c r="B66" s="46"/>
      <c r="C66" s="42"/>
      <c r="D66" s="42"/>
      <c r="E66" s="42" t="s">
        <v>667</v>
      </c>
      <c r="F66" s="42"/>
      <c r="G66" s="42"/>
      <c r="H66" s="157">
        <f>-H29</f>
        <v>-50685.43</v>
      </c>
      <c r="I66" s="157">
        <f>-I29</f>
        <v>-83159.789999999994</v>
      </c>
      <c r="J66" s="150"/>
      <c r="K66" s="157">
        <f>-K29</f>
        <v>-54528</v>
      </c>
      <c r="L66" s="157">
        <f>-L29</f>
        <v>-13839</v>
      </c>
      <c r="M66" s="735">
        <f>H66-K66</f>
        <v>3842.5699999999997</v>
      </c>
      <c r="N66" s="736">
        <f>(H66-K66)/K66</f>
        <v>-7.0469666960093894E-2</v>
      </c>
      <c r="O66" s="674"/>
      <c r="P66" s="466"/>
    </row>
    <row r="67" spans="2:18" s="43" customFormat="1" ht="21" thickBot="1" x14ac:dyDescent="0.25">
      <c r="B67" s="46"/>
      <c r="C67" s="42"/>
      <c r="D67" s="42"/>
      <c r="E67" s="42"/>
      <c r="F67" s="42" t="s">
        <v>685</v>
      </c>
      <c r="G67" s="42"/>
      <c r="H67" s="157">
        <f>SUM(H61:H66)</f>
        <v>89569.186666666676</v>
      </c>
      <c r="I67" s="157">
        <f>SUM(I61:I66)</f>
        <v>-3159.7899999999936</v>
      </c>
      <c r="J67" s="150"/>
      <c r="K67" s="157">
        <f>SUM(K61:K66)</f>
        <v>33451</v>
      </c>
      <c r="L67" s="157">
        <f>SUM(L61:L66)</f>
        <v>75388.56</v>
      </c>
      <c r="M67" s="734">
        <f t="shared" ref="M67" si="9">H67-L67</f>
        <v>14180.626666666678</v>
      </c>
      <c r="N67" s="679">
        <f t="shared" ref="N67" si="10">(H67-L67)/L67</f>
        <v>0.18810051109434481</v>
      </c>
      <c r="O67" s="674"/>
      <c r="P67" s="466"/>
    </row>
    <row r="68" spans="2:18" s="43" customFormat="1" ht="7.5" customHeight="1" x14ac:dyDescent="0.2">
      <c r="B68" s="42"/>
      <c r="C68" s="42"/>
      <c r="D68" s="42"/>
      <c r="E68" s="42"/>
      <c r="F68" s="42"/>
      <c r="G68" s="42"/>
      <c r="H68" s="179"/>
      <c r="I68" s="179"/>
      <c r="J68" s="179"/>
      <c r="K68" s="179"/>
      <c r="L68" s="179"/>
      <c r="M68" s="264"/>
      <c r="N68" s="675"/>
      <c r="O68" s="674"/>
      <c r="P68" s="466"/>
    </row>
    <row r="69" spans="2:18" s="43" customFormat="1" ht="20.25" x14ac:dyDescent="0.2">
      <c r="B69" s="42"/>
      <c r="C69" s="42"/>
      <c r="D69" s="42"/>
      <c r="E69" s="42"/>
      <c r="F69" s="42" t="s">
        <v>686</v>
      </c>
      <c r="G69" s="42"/>
      <c r="H69" s="153">
        <f>H58+H67</f>
        <v>174505.53666666677</v>
      </c>
      <c r="I69" s="153">
        <f>I58+I67</f>
        <v>96901.359999999913</v>
      </c>
      <c r="J69" s="153"/>
      <c r="K69" s="153">
        <f>K58+K67</f>
        <v>107914.27299999993</v>
      </c>
      <c r="L69" s="153" t="e">
        <f>L58+L67</f>
        <v>#REF!</v>
      </c>
      <c r="M69" s="181">
        <f>H69-K69</f>
        <v>66591.26366666684</v>
      </c>
      <c r="N69" s="675">
        <f>(H69-K69)/K69</f>
        <v>0.61707558986814359</v>
      </c>
      <c r="O69" s="674"/>
      <c r="P69" s="466"/>
    </row>
    <row r="70" spans="2:18" s="43" customFormat="1" ht="8.25" customHeight="1" x14ac:dyDescent="0.2">
      <c r="B70" s="42"/>
      <c r="C70" s="42"/>
      <c r="D70" s="42"/>
      <c r="E70" s="42"/>
      <c r="F70" s="42"/>
      <c r="G70" s="42"/>
      <c r="H70" s="150"/>
      <c r="I70" s="150"/>
      <c r="J70" s="150"/>
      <c r="K70" s="150"/>
      <c r="L70" s="150"/>
      <c r="M70" s="264"/>
      <c r="N70" s="264"/>
      <c r="O70" s="674"/>
      <c r="P70" s="466"/>
    </row>
    <row r="71" spans="2:18" s="50" customFormat="1" ht="26.25" x14ac:dyDescent="0.2">
      <c r="B71" s="175"/>
      <c r="C71" s="175"/>
      <c r="D71" s="42"/>
      <c r="E71" s="42" t="s">
        <v>687</v>
      </c>
      <c r="F71" s="42"/>
      <c r="G71" s="42"/>
      <c r="H71" s="153">
        <f>I72</f>
        <v>1076850.3699999999</v>
      </c>
      <c r="I71" s="153">
        <v>979949.01</v>
      </c>
      <c r="J71" s="153"/>
      <c r="K71" s="153">
        <v>1037224</v>
      </c>
      <c r="L71" s="153">
        <v>979949.01</v>
      </c>
      <c r="M71" s="265"/>
      <c r="N71" s="265"/>
      <c r="O71" s="674"/>
      <c r="P71" s="541"/>
    </row>
    <row r="72" spans="2:18" s="52" customFormat="1" ht="21" thickBot="1" x14ac:dyDescent="0.25">
      <c r="B72" s="42"/>
      <c r="C72" s="42"/>
      <c r="D72" s="42"/>
      <c r="F72" s="42" t="s">
        <v>688</v>
      </c>
      <c r="G72" s="42"/>
      <c r="H72" s="222">
        <f>H69+H71</f>
        <v>1251355.9066666667</v>
      </c>
      <c r="I72" s="222">
        <f>I69+I71</f>
        <v>1076850.3699999999</v>
      </c>
      <c r="J72" s="179"/>
      <c r="K72" s="222">
        <f>K69+K71</f>
        <v>1145138.273</v>
      </c>
      <c r="L72" s="222" t="e">
        <f>L69+L71</f>
        <v>#REF!</v>
      </c>
      <c r="M72" s="179"/>
      <c r="N72" s="265"/>
      <c r="O72" s="674"/>
      <c r="P72" s="588"/>
    </row>
    <row r="81" spans="11:11" x14ac:dyDescent="0.25">
      <c r="K81" s="147"/>
    </row>
  </sheetData>
  <mergeCells count="3">
    <mergeCell ref="M8:N8"/>
    <mergeCell ref="H6:K6"/>
    <mergeCell ref="D36:G36"/>
  </mergeCells>
  <pageMargins left="0.25" right="0.25" top="0.75" bottom="0.75" header="0.3" footer="0.3"/>
  <pageSetup scale="35"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zoomScale="75" zoomScaleNormal="75" workbookViewId="0">
      <selection activeCell="O10" sqref="O10"/>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4.625" style="33" customWidth="1"/>
    <col min="7" max="7" width="24.25" customWidth="1"/>
    <col min="228" max="228" width="2.875" customWidth="1"/>
    <col min="229" max="229" width="8.125" customWidth="1"/>
    <col min="230" max="230" width="8.75" customWidth="1"/>
    <col min="231" max="231" width="11" customWidth="1"/>
    <col min="232" max="232" width="2.875" customWidth="1"/>
    <col min="233" max="233" width="77.625" customWidth="1"/>
    <col min="234" max="234" width="20.875" customWidth="1"/>
    <col min="484" max="484" width="2.875" customWidth="1"/>
    <col min="485" max="485" width="8.125" customWidth="1"/>
    <col min="486" max="486" width="8.75" customWidth="1"/>
    <col min="487" max="487" width="11" customWidth="1"/>
    <col min="488" max="488" width="2.875" customWidth="1"/>
    <col min="489" max="489" width="77.625" customWidth="1"/>
    <col min="490" max="490" width="20.875" customWidth="1"/>
    <col min="740" max="740" width="2.875" customWidth="1"/>
    <col min="741" max="741" width="8.125" customWidth="1"/>
    <col min="742" max="742" width="8.75" customWidth="1"/>
    <col min="743" max="743" width="11" customWidth="1"/>
    <col min="744" max="744" width="2.875" customWidth="1"/>
    <col min="745" max="745" width="77.625" customWidth="1"/>
    <col min="746" max="746" width="20.875" customWidth="1"/>
    <col min="996" max="996" width="2.875" customWidth="1"/>
    <col min="997" max="997" width="8.125" customWidth="1"/>
    <col min="998" max="998" width="8.75" customWidth="1"/>
    <col min="999" max="999" width="11" customWidth="1"/>
    <col min="1000" max="1000" width="2.875" customWidth="1"/>
    <col min="1001" max="1001" width="77.625" customWidth="1"/>
    <col min="1002" max="1002" width="20.875" customWidth="1"/>
    <col min="1252" max="1252" width="2.875" customWidth="1"/>
    <col min="1253" max="1253" width="8.125" customWidth="1"/>
    <col min="1254" max="1254" width="8.75" customWidth="1"/>
    <col min="1255" max="1255" width="11" customWidth="1"/>
    <col min="1256" max="1256" width="2.875" customWidth="1"/>
    <col min="1257" max="1257" width="77.625" customWidth="1"/>
    <col min="1258" max="1258" width="20.875" customWidth="1"/>
    <col min="1508" max="1508" width="2.875" customWidth="1"/>
    <col min="1509" max="1509" width="8.125" customWidth="1"/>
    <col min="1510" max="1510" width="8.75" customWidth="1"/>
    <col min="1511" max="1511" width="11" customWidth="1"/>
    <col min="1512" max="1512" width="2.875" customWidth="1"/>
    <col min="1513" max="1513" width="77.625" customWidth="1"/>
    <col min="1514" max="1514" width="20.875" customWidth="1"/>
    <col min="1764" max="1764" width="2.875" customWidth="1"/>
    <col min="1765" max="1765" width="8.125" customWidth="1"/>
    <col min="1766" max="1766" width="8.75" customWidth="1"/>
    <col min="1767" max="1767" width="11" customWidth="1"/>
    <col min="1768" max="1768" width="2.875" customWidth="1"/>
    <col min="1769" max="1769" width="77.625" customWidth="1"/>
    <col min="1770" max="1770" width="20.875" customWidth="1"/>
    <col min="2020" max="2020" width="2.875" customWidth="1"/>
    <col min="2021" max="2021" width="8.125" customWidth="1"/>
    <col min="2022" max="2022" width="8.75" customWidth="1"/>
    <col min="2023" max="2023" width="11" customWidth="1"/>
    <col min="2024" max="2024" width="2.875" customWidth="1"/>
    <col min="2025" max="2025" width="77.625" customWidth="1"/>
    <col min="2026" max="2026" width="20.875" customWidth="1"/>
    <col min="2276" max="2276" width="2.875" customWidth="1"/>
    <col min="2277" max="2277" width="8.125" customWidth="1"/>
    <col min="2278" max="2278" width="8.75" customWidth="1"/>
    <col min="2279" max="2279" width="11" customWidth="1"/>
    <col min="2280" max="2280" width="2.875" customWidth="1"/>
    <col min="2281" max="2281" width="77.625" customWidth="1"/>
    <col min="2282" max="2282" width="20.875" customWidth="1"/>
    <col min="2532" max="2532" width="2.875" customWidth="1"/>
    <col min="2533" max="2533" width="8.125" customWidth="1"/>
    <col min="2534" max="2534" width="8.75" customWidth="1"/>
    <col min="2535" max="2535" width="11" customWidth="1"/>
    <col min="2536" max="2536" width="2.875" customWidth="1"/>
    <col min="2537" max="2537" width="77.625" customWidth="1"/>
    <col min="2538" max="2538" width="20.875" customWidth="1"/>
    <col min="2788" max="2788" width="2.875" customWidth="1"/>
    <col min="2789" max="2789" width="8.125" customWidth="1"/>
    <col min="2790" max="2790" width="8.75" customWidth="1"/>
    <col min="2791" max="2791" width="11" customWidth="1"/>
    <col min="2792" max="2792" width="2.875" customWidth="1"/>
    <col min="2793" max="2793" width="77.625" customWidth="1"/>
    <col min="2794" max="2794" width="20.875" customWidth="1"/>
    <col min="3044" max="3044" width="2.875" customWidth="1"/>
    <col min="3045" max="3045" width="8.125" customWidth="1"/>
    <col min="3046" max="3046" width="8.75" customWidth="1"/>
    <col min="3047" max="3047" width="11" customWidth="1"/>
    <col min="3048" max="3048" width="2.875" customWidth="1"/>
    <col min="3049" max="3049" width="77.625" customWidth="1"/>
    <col min="3050" max="3050" width="20.875" customWidth="1"/>
    <col min="3300" max="3300" width="2.875" customWidth="1"/>
    <col min="3301" max="3301" width="8.125" customWidth="1"/>
    <col min="3302" max="3302" width="8.75" customWidth="1"/>
    <col min="3303" max="3303" width="11" customWidth="1"/>
    <col min="3304" max="3304" width="2.875" customWidth="1"/>
    <col min="3305" max="3305" width="77.625" customWidth="1"/>
    <col min="3306" max="3306" width="20.875" customWidth="1"/>
    <col min="3556" max="3556" width="2.875" customWidth="1"/>
    <col min="3557" max="3557" width="8.125" customWidth="1"/>
    <col min="3558" max="3558" width="8.75" customWidth="1"/>
    <col min="3559" max="3559" width="11" customWidth="1"/>
    <col min="3560" max="3560" width="2.875" customWidth="1"/>
    <col min="3561" max="3561" width="77.625" customWidth="1"/>
    <col min="3562" max="3562" width="20.875" customWidth="1"/>
    <col min="3812" max="3812" width="2.875" customWidth="1"/>
    <col min="3813" max="3813" width="8.125" customWidth="1"/>
    <col min="3814" max="3814" width="8.75" customWidth="1"/>
    <col min="3815" max="3815" width="11" customWidth="1"/>
    <col min="3816" max="3816" width="2.875" customWidth="1"/>
    <col min="3817" max="3817" width="77.625" customWidth="1"/>
    <col min="3818" max="3818" width="20.875" customWidth="1"/>
    <col min="4068" max="4068" width="2.875" customWidth="1"/>
    <col min="4069" max="4069" width="8.125" customWidth="1"/>
    <col min="4070" max="4070" width="8.75" customWidth="1"/>
    <col min="4071" max="4071" width="11" customWidth="1"/>
    <col min="4072" max="4072" width="2.875" customWidth="1"/>
    <col min="4073" max="4073" width="77.625" customWidth="1"/>
    <col min="4074" max="4074" width="20.875" customWidth="1"/>
    <col min="4324" max="4324" width="2.875" customWidth="1"/>
    <col min="4325" max="4325" width="8.125" customWidth="1"/>
    <col min="4326" max="4326" width="8.75" customWidth="1"/>
    <col min="4327" max="4327" width="11" customWidth="1"/>
    <col min="4328" max="4328" width="2.875" customWidth="1"/>
    <col min="4329" max="4329" width="77.625" customWidth="1"/>
    <col min="4330" max="4330" width="20.875" customWidth="1"/>
    <col min="4580" max="4580" width="2.875" customWidth="1"/>
    <col min="4581" max="4581" width="8.125" customWidth="1"/>
    <col min="4582" max="4582" width="8.75" customWidth="1"/>
    <col min="4583" max="4583" width="11" customWidth="1"/>
    <col min="4584" max="4584" width="2.875" customWidth="1"/>
    <col min="4585" max="4585" width="77.625" customWidth="1"/>
    <col min="4586" max="4586" width="20.875" customWidth="1"/>
    <col min="4836" max="4836" width="2.875" customWidth="1"/>
    <col min="4837" max="4837" width="8.125" customWidth="1"/>
    <col min="4838" max="4838" width="8.75" customWidth="1"/>
    <col min="4839" max="4839" width="11" customWidth="1"/>
    <col min="4840" max="4840" width="2.875" customWidth="1"/>
    <col min="4841" max="4841" width="77.625" customWidth="1"/>
    <col min="4842" max="4842" width="20.875" customWidth="1"/>
    <col min="5092" max="5092" width="2.875" customWidth="1"/>
    <col min="5093" max="5093" width="8.125" customWidth="1"/>
    <col min="5094" max="5094" width="8.75" customWidth="1"/>
    <col min="5095" max="5095" width="11" customWidth="1"/>
    <col min="5096" max="5096" width="2.875" customWidth="1"/>
    <col min="5097" max="5097" width="77.625" customWidth="1"/>
    <col min="5098" max="5098" width="20.875" customWidth="1"/>
    <col min="5348" max="5348" width="2.875" customWidth="1"/>
    <col min="5349" max="5349" width="8.125" customWidth="1"/>
    <col min="5350" max="5350" width="8.75" customWidth="1"/>
    <col min="5351" max="5351" width="11" customWidth="1"/>
    <col min="5352" max="5352" width="2.875" customWidth="1"/>
    <col min="5353" max="5353" width="77.625" customWidth="1"/>
    <col min="5354" max="5354" width="20.875" customWidth="1"/>
    <col min="5604" max="5604" width="2.875" customWidth="1"/>
    <col min="5605" max="5605" width="8.125" customWidth="1"/>
    <col min="5606" max="5606" width="8.75" customWidth="1"/>
    <col min="5607" max="5607" width="11" customWidth="1"/>
    <col min="5608" max="5608" width="2.875" customWidth="1"/>
    <col min="5609" max="5609" width="77.625" customWidth="1"/>
    <col min="5610" max="5610" width="20.875" customWidth="1"/>
    <col min="5860" max="5860" width="2.875" customWidth="1"/>
    <col min="5861" max="5861" width="8.125" customWidth="1"/>
    <col min="5862" max="5862" width="8.75" customWidth="1"/>
    <col min="5863" max="5863" width="11" customWidth="1"/>
    <col min="5864" max="5864" width="2.875" customWidth="1"/>
    <col min="5865" max="5865" width="77.625" customWidth="1"/>
    <col min="5866" max="5866" width="20.875" customWidth="1"/>
    <col min="6116" max="6116" width="2.875" customWidth="1"/>
    <col min="6117" max="6117" width="8.125" customWidth="1"/>
    <col min="6118" max="6118" width="8.75" customWidth="1"/>
    <col min="6119" max="6119" width="11" customWidth="1"/>
    <col min="6120" max="6120" width="2.875" customWidth="1"/>
    <col min="6121" max="6121" width="77.625" customWidth="1"/>
    <col min="6122" max="6122" width="20.875" customWidth="1"/>
    <col min="6372" max="6372" width="2.875" customWidth="1"/>
    <col min="6373" max="6373" width="8.125" customWidth="1"/>
    <col min="6374" max="6374" width="8.75" customWidth="1"/>
    <col min="6375" max="6375" width="11" customWidth="1"/>
    <col min="6376" max="6376" width="2.875" customWidth="1"/>
    <col min="6377" max="6377" width="77.625" customWidth="1"/>
    <col min="6378" max="6378" width="20.875" customWidth="1"/>
    <col min="6628" max="6628" width="2.875" customWidth="1"/>
    <col min="6629" max="6629" width="8.125" customWidth="1"/>
    <col min="6630" max="6630" width="8.75" customWidth="1"/>
    <col min="6631" max="6631" width="11" customWidth="1"/>
    <col min="6632" max="6632" width="2.875" customWidth="1"/>
    <col min="6633" max="6633" width="77.625" customWidth="1"/>
    <col min="6634" max="6634" width="20.875" customWidth="1"/>
    <col min="6884" max="6884" width="2.875" customWidth="1"/>
    <col min="6885" max="6885" width="8.125" customWidth="1"/>
    <col min="6886" max="6886" width="8.75" customWidth="1"/>
    <col min="6887" max="6887" width="11" customWidth="1"/>
    <col min="6888" max="6888" width="2.875" customWidth="1"/>
    <col min="6889" max="6889" width="77.625" customWidth="1"/>
    <col min="6890" max="6890" width="20.875" customWidth="1"/>
    <col min="7140" max="7140" width="2.875" customWidth="1"/>
    <col min="7141" max="7141" width="8.125" customWidth="1"/>
    <col min="7142" max="7142" width="8.75" customWidth="1"/>
    <col min="7143" max="7143" width="11" customWidth="1"/>
    <col min="7144" max="7144" width="2.875" customWidth="1"/>
    <col min="7145" max="7145" width="77.625" customWidth="1"/>
    <col min="7146" max="7146" width="20.875" customWidth="1"/>
    <col min="7396" max="7396" width="2.875" customWidth="1"/>
    <col min="7397" max="7397" width="8.125" customWidth="1"/>
    <col min="7398" max="7398" width="8.75" customWidth="1"/>
    <col min="7399" max="7399" width="11" customWidth="1"/>
    <col min="7400" max="7400" width="2.875" customWidth="1"/>
    <col min="7401" max="7401" width="77.625" customWidth="1"/>
    <col min="7402" max="7402" width="20.875" customWidth="1"/>
    <col min="7652" max="7652" width="2.875" customWidth="1"/>
    <col min="7653" max="7653" width="8.125" customWidth="1"/>
    <col min="7654" max="7654" width="8.75" customWidth="1"/>
    <col min="7655" max="7655" width="11" customWidth="1"/>
    <col min="7656" max="7656" width="2.875" customWidth="1"/>
    <col min="7657" max="7657" width="77.625" customWidth="1"/>
    <col min="7658" max="7658" width="20.875" customWidth="1"/>
    <col min="7908" max="7908" width="2.875" customWidth="1"/>
    <col min="7909" max="7909" width="8.125" customWidth="1"/>
    <col min="7910" max="7910" width="8.75" customWidth="1"/>
    <col min="7911" max="7911" width="11" customWidth="1"/>
    <col min="7912" max="7912" width="2.875" customWidth="1"/>
    <col min="7913" max="7913" width="77.625" customWidth="1"/>
    <col min="7914" max="7914" width="20.875" customWidth="1"/>
    <col min="8164" max="8164" width="2.875" customWidth="1"/>
    <col min="8165" max="8165" width="8.125" customWidth="1"/>
    <col min="8166" max="8166" width="8.75" customWidth="1"/>
    <col min="8167" max="8167" width="11" customWidth="1"/>
    <col min="8168" max="8168" width="2.875" customWidth="1"/>
    <col min="8169" max="8169" width="77.625" customWidth="1"/>
    <col min="8170" max="8170" width="20.875" customWidth="1"/>
    <col min="8420" max="8420" width="2.875" customWidth="1"/>
    <col min="8421" max="8421" width="8.125" customWidth="1"/>
    <col min="8422" max="8422" width="8.75" customWidth="1"/>
    <col min="8423" max="8423" width="11" customWidth="1"/>
    <col min="8424" max="8424" width="2.875" customWidth="1"/>
    <col min="8425" max="8425" width="77.625" customWidth="1"/>
    <col min="8426" max="8426" width="20.875" customWidth="1"/>
    <col min="8676" max="8676" width="2.875" customWidth="1"/>
    <col min="8677" max="8677" width="8.125" customWidth="1"/>
    <col min="8678" max="8678" width="8.75" customWidth="1"/>
    <col min="8679" max="8679" width="11" customWidth="1"/>
    <col min="8680" max="8680" width="2.875" customWidth="1"/>
    <col min="8681" max="8681" width="77.625" customWidth="1"/>
    <col min="8682" max="8682" width="20.875" customWidth="1"/>
    <col min="8932" max="8932" width="2.875" customWidth="1"/>
    <col min="8933" max="8933" width="8.125" customWidth="1"/>
    <col min="8934" max="8934" width="8.75" customWidth="1"/>
    <col min="8935" max="8935" width="11" customWidth="1"/>
    <col min="8936" max="8936" width="2.875" customWidth="1"/>
    <col min="8937" max="8937" width="77.625" customWidth="1"/>
    <col min="8938" max="8938" width="20.875" customWidth="1"/>
    <col min="9188" max="9188" width="2.875" customWidth="1"/>
    <col min="9189" max="9189" width="8.125" customWidth="1"/>
    <col min="9190" max="9190" width="8.75" customWidth="1"/>
    <col min="9191" max="9191" width="11" customWidth="1"/>
    <col min="9192" max="9192" width="2.875" customWidth="1"/>
    <col min="9193" max="9193" width="77.625" customWidth="1"/>
    <col min="9194" max="9194" width="20.875" customWidth="1"/>
    <col min="9444" max="9444" width="2.875" customWidth="1"/>
    <col min="9445" max="9445" width="8.125" customWidth="1"/>
    <col min="9446" max="9446" width="8.75" customWidth="1"/>
    <col min="9447" max="9447" width="11" customWidth="1"/>
    <col min="9448" max="9448" width="2.875" customWidth="1"/>
    <col min="9449" max="9449" width="77.625" customWidth="1"/>
    <col min="9450" max="9450" width="20.875" customWidth="1"/>
    <col min="9700" max="9700" width="2.875" customWidth="1"/>
    <col min="9701" max="9701" width="8.125" customWidth="1"/>
    <col min="9702" max="9702" width="8.75" customWidth="1"/>
    <col min="9703" max="9703" width="11" customWidth="1"/>
    <col min="9704" max="9704" width="2.875" customWidth="1"/>
    <col min="9705" max="9705" width="77.625" customWidth="1"/>
    <col min="9706" max="9706" width="20.875" customWidth="1"/>
    <col min="9956" max="9956" width="2.875" customWidth="1"/>
    <col min="9957" max="9957" width="8.125" customWidth="1"/>
    <col min="9958" max="9958" width="8.75" customWidth="1"/>
    <col min="9959" max="9959" width="11" customWidth="1"/>
    <col min="9960" max="9960" width="2.875" customWidth="1"/>
    <col min="9961" max="9961" width="77.625" customWidth="1"/>
    <col min="9962" max="9962" width="20.875" customWidth="1"/>
    <col min="10212" max="10212" width="2.875" customWidth="1"/>
    <col min="10213" max="10213" width="8.125" customWidth="1"/>
    <col min="10214" max="10214" width="8.75" customWidth="1"/>
    <col min="10215" max="10215" width="11" customWidth="1"/>
    <col min="10216" max="10216" width="2.875" customWidth="1"/>
    <col min="10217" max="10217" width="77.625" customWidth="1"/>
    <col min="10218" max="10218" width="20.875" customWidth="1"/>
    <col min="10468" max="10468" width="2.875" customWidth="1"/>
    <col min="10469" max="10469" width="8.125" customWidth="1"/>
    <col min="10470" max="10470" width="8.75" customWidth="1"/>
    <col min="10471" max="10471" width="11" customWidth="1"/>
    <col min="10472" max="10472" width="2.875" customWidth="1"/>
    <col min="10473" max="10473" width="77.625" customWidth="1"/>
    <col min="10474" max="10474" width="20.875" customWidth="1"/>
    <col min="10724" max="10724" width="2.875" customWidth="1"/>
    <col min="10725" max="10725" width="8.125" customWidth="1"/>
    <col min="10726" max="10726" width="8.75" customWidth="1"/>
    <col min="10727" max="10727" width="11" customWidth="1"/>
    <col min="10728" max="10728" width="2.875" customWidth="1"/>
    <col min="10729" max="10729" width="77.625" customWidth="1"/>
    <col min="10730" max="10730" width="20.875" customWidth="1"/>
    <col min="10980" max="10980" width="2.875" customWidth="1"/>
    <col min="10981" max="10981" width="8.125" customWidth="1"/>
    <col min="10982" max="10982" width="8.75" customWidth="1"/>
    <col min="10983" max="10983" width="11" customWidth="1"/>
    <col min="10984" max="10984" width="2.875" customWidth="1"/>
    <col min="10985" max="10985" width="77.625" customWidth="1"/>
    <col min="10986" max="10986" width="20.875" customWidth="1"/>
    <col min="11236" max="11236" width="2.875" customWidth="1"/>
    <col min="11237" max="11237" width="8.125" customWidth="1"/>
    <col min="11238" max="11238" width="8.75" customWidth="1"/>
    <col min="11239" max="11239" width="11" customWidth="1"/>
    <col min="11240" max="11240" width="2.875" customWidth="1"/>
    <col min="11241" max="11241" width="77.625" customWidth="1"/>
    <col min="11242" max="11242" width="20.875" customWidth="1"/>
    <col min="11492" max="11492" width="2.875" customWidth="1"/>
    <col min="11493" max="11493" width="8.125" customWidth="1"/>
    <col min="11494" max="11494" width="8.75" customWidth="1"/>
    <col min="11495" max="11495" width="11" customWidth="1"/>
    <col min="11496" max="11496" width="2.875" customWidth="1"/>
    <col min="11497" max="11497" width="77.625" customWidth="1"/>
    <col min="11498" max="11498" width="20.875" customWidth="1"/>
    <col min="11748" max="11748" width="2.875" customWidth="1"/>
    <col min="11749" max="11749" width="8.125" customWidth="1"/>
    <col min="11750" max="11750" width="8.75" customWidth="1"/>
    <col min="11751" max="11751" width="11" customWidth="1"/>
    <col min="11752" max="11752" width="2.875" customWidth="1"/>
    <col min="11753" max="11753" width="77.625" customWidth="1"/>
    <col min="11754" max="11754" width="20.875" customWidth="1"/>
    <col min="12004" max="12004" width="2.875" customWidth="1"/>
    <col min="12005" max="12005" width="8.125" customWidth="1"/>
    <col min="12006" max="12006" width="8.75" customWidth="1"/>
    <col min="12007" max="12007" width="11" customWidth="1"/>
    <col min="12008" max="12008" width="2.875" customWidth="1"/>
    <col min="12009" max="12009" width="77.625" customWidth="1"/>
    <col min="12010" max="12010" width="20.875" customWidth="1"/>
    <col min="12260" max="12260" width="2.875" customWidth="1"/>
    <col min="12261" max="12261" width="8.125" customWidth="1"/>
    <col min="12262" max="12262" width="8.75" customWidth="1"/>
    <col min="12263" max="12263" width="11" customWidth="1"/>
    <col min="12264" max="12264" width="2.875" customWidth="1"/>
    <col min="12265" max="12265" width="77.625" customWidth="1"/>
    <col min="12266" max="12266" width="20.875" customWidth="1"/>
    <col min="12516" max="12516" width="2.875" customWidth="1"/>
    <col min="12517" max="12517" width="8.125" customWidth="1"/>
    <col min="12518" max="12518" width="8.75" customWidth="1"/>
    <col min="12519" max="12519" width="11" customWidth="1"/>
    <col min="12520" max="12520" width="2.875" customWidth="1"/>
    <col min="12521" max="12521" width="77.625" customWidth="1"/>
    <col min="12522" max="12522" width="20.875" customWidth="1"/>
    <col min="12772" max="12772" width="2.875" customWidth="1"/>
    <col min="12773" max="12773" width="8.125" customWidth="1"/>
    <col min="12774" max="12774" width="8.75" customWidth="1"/>
    <col min="12775" max="12775" width="11" customWidth="1"/>
    <col min="12776" max="12776" width="2.875" customWidth="1"/>
    <col min="12777" max="12777" width="77.625" customWidth="1"/>
    <col min="12778" max="12778" width="20.875" customWidth="1"/>
    <col min="13028" max="13028" width="2.875" customWidth="1"/>
    <col min="13029" max="13029" width="8.125" customWidth="1"/>
    <col min="13030" max="13030" width="8.75" customWidth="1"/>
    <col min="13031" max="13031" width="11" customWidth="1"/>
    <col min="13032" max="13032" width="2.875" customWidth="1"/>
    <col min="13033" max="13033" width="77.625" customWidth="1"/>
    <col min="13034" max="13034" width="20.875" customWidth="1"/>
    <col min="13284" max="13284" width="2.875" customWidth="1"/>
    <col min="13285" max="13285" width="8.125" customWidth="1"/>
    <col min="13286" max="13286" width="8.75" customWidth="1"/>
    <col min="13287" max="13287" width="11" customWidth="1"/>
    <col min="13288" max="13288" width="2.875" customWidth="1"/>
    <col min="13289" max="13289" width="77.625" customWidth="1"/>
    <col min="13290" max="13290" width="20.875" customWidth="1"/>
    <col min="13540" max="13540" width="2.875" customWidth="1"/>
    <col min="13541" max="13541" width="8.125" customWidth="1"/>
    <col min="13542" max="13542" width="8.75" customWidth="1"/>
    <col min="13543" max="13543" width="11" customWidth="1"/>
    <col min="13544" max="13544" width="2.875" customWidth="1"/>
    <col min="13545" max="13545" width="77.625" customWidth="1"/>
    <col min="13546" max="13546" width="20.875" customWidth="1"/>
    <col min="13796" max="13796" width="2.875" customWidth="1"/>
    <col min="13797" max="13797" width="8.125" customWidth="1"/>
    <col min="13798" max="13798" width="8.75" customWidth="1"/>
    <col min="13799" max="13799" width="11" customWidth="1"/>
    <col min="13800" max="13800" width="2.875" customWidth="1"/>
    <col min="13801" max="13801" width="77.625" customWidth="1"/>
    <col min="13802" max="13802" width="20.875" customWidth="1"/>
    <col min="14052" max="14052" width="2.875" customWidth="1"/>
    <col min="14053" max="14053" width="8.125" customWidth="1"/>
    <col min="14054" max="14054" width="8.75" customWidth="1"/>
    <col min="14055" max="14055" width="11" customWidth="1"/>
    <col min="14056" max="14056" width="2.875" customWidth="1"/>
    <col min="14057" max="14057" width="77.625" customWidth="1"/>
    <col min="14058" max="14058" width="20.875" customWidth="1"/>
    <col min="14308" max="14308" width="2.875" customWidth="1"/>
    <col min="14309" max="14309" width="8.125" customWidth="1"/>
    <col min="14310" max="14310" width="8.75" customWidth="1"/>
    <col min="14311" max="14311" width="11" customWidth="1"/>
    <col min="14312" max="14312" width="2.875" customWidth="1"/>
    <col min="14313" max="14313" width="77.625" customWidth="1"/>
    <col min="14314" max="14314" width="20.875" customWidth="1"/>
    <col min="14564" max="14564" width="2.875" customWidth="1"/>
    <col min="14565" max="14565" width="8.125" customWidth="1"/>
    <col min="14566" max="14566" width="8.75" customWidth="1"/>
    <col min="14567" max="14567" width="11" customWidth="1"/>
    <col min="14568" max="14568" width="2.875" customWidth="1"/>
    <col min="14569" max="14569" width="77.625" customWidth="1"/>
    <col min="14570" max="14570" width="20.875" customWidth="1"/>
    <col min="14820" max="14820" width="2.875" customWidth="1"/>
    <col min="14821" max="14821" width="8.125" customWidth="1"/>
    <col min="14822" max="14822" width="8.75" customWidth="1"/>
    <col min="14823" max="14823" width="11" customWidth="1"/>
    <col min="14824" max="14824" width="2.875" customWidth="1"/>
    <col min="14825" max="14825" width="77.625" customWidth="1"/>
    <col min="14826" max="14826" width="20.875" customWidth="1"/>
    <col min="15076" max="15076" width="2.875" customWidth="1"/>
    <col min="15077" max="15077" width="8.125" customWidth="1"/>
    <col min="15078" max="15078" width="8.75" customWidth="1"/>
    <col min="15079" max="15079" width="11" customWidth="1"/>
    <col min="15080" max="15080" width="2.875" customWidth="1"/>
    <col min="15081" max="15081" width="77.625" customWidth="1"/>
    <col min="15082" max="15082" width="20.875" customWidth="1"/>
    <col min="15332" max="15332" width="2.875" customWidth="1"/>
    <col min="15333" max="15333" width="8.125" customWidth="1"/>
    <col min="15334" max="15334" width="8.75" customWidth="1"/>
    <col min="15335" max="15335" width="11" customWidth="1"/>
    <col min="15336" max="15336" width="2.875" customWidth="1"/>
    <col min="15337" max="15337" width="77.625" customWidth="1"/>
    <col min="15338" max="15338" width="20.875" customWidth="1"/>
    <col min="15588" max="15588" width="2.875" customWidth="1"/>
    <col min="15589" max="15589" width="8.125" customWidth="1"/>
    <col min="15590" max="15590" width="8.75" customWidth="1"/>
    <col min="15591" max="15591" width="11" customWidth="1"/>
    <col min="15592" max="15592" width="2.875" customWidth="1"/>
    <col min="15593" max="15593" width="77.625" customWidth="1"/>
    <col min="15594" max="15594" width="20.875" customWidth="1"/>
    <col min="15844" max="15844" width="2.875" customWidth="1"/>
    <col min="15845" max="15845" width="8.125" customWidth="1"/>
    <col min="15846" max="15846" width="8.75" customWidth="1"/>
    <col min="15847" max="15847" width="11" customWidth="1"/>
    <col min="15848" max="15848" width="2.875" customWidth="1"/>
    <col min="15849" max="15849" width="77.625" customWidth="1"/>
    <col min="15850" max="15850" width="20.875" customWidth="1"/>
    <col min="16100" max="16100" width="2.875" customWidth="1"/>
    <col min="16101" max="16101" width="8.125" customWidth="1"/>
    <col min="16102" max="16102" width="8.75" customWidth="1"/>
    <col min="16103" max="16103" width="11" customWidth="1"/>
    <col min="16104" max="16104" width="2.875" customWidth="1"/>
    <col min="16105" max="16105" width="77.625" customWidth="1"/>
    <col min="16106" max="16106" width="20.875" customWidth="1"/>
  </cols>
  <sheetData>
    <row r="1" spans="1:7" ht="22.5" customHeight="1" x14ac:dyDescent="0.4">
      <c r="A1" s="34" t="s">
        <v>0</v>
      </c>
      <c r="B1" s="35"/>
      <c r="C1" s="36"/>
      <c r="D1" s="36"/>
      <c r="E1" s="36"/>
      <c r="F1" s="35"/>
      <c r="G1" s="35"/>
    </row>
    <row r="2" spans="1:7" ht="22.5" customHeight="1" x14ac:dyDescent="0.4">
      <c r="A2" s="34" t="s">
        <v>689</v>
      </c>
      <c r="B2" s="35"/>
      <c r="C2" s="36"/>
      <c r="D2" s="36"/>
      <c r="E2" s="36"/>
      <c r="F2" s="35"/>
      <c r="G2" s="35"/>
    </row>
    <row r="3" spans="1:7" s="38" customFormat="1" ht="5.25" customHeight="1" thickBot="1" x14ac:dyDescent="0.25">
      <c r="A3" s="37"/>
      <c r="B3" s="37"/>
      <c r="C3" s="37"/>
      <c r="D3" s="37"/>
      <c r="E3" s="37"/>
      <c r="F3" s="37"/>
    </row>
    <row r="4" spans="1:7" s="41" customFormat="1" ht="24.75" customHeight="1" thickTop="1" thickBot="1" x14ac:dyDescent="0.25">
      <c r="A4" s="39" t="s">
        <v>3</v>
      </c>
      <c r="B4" s="39"/>
      <c r="C4" s="39"/>
      <c r="D4" s="39"/>
      <c r="E4" s="39"/>
      <c r="F4" s="39"/>
      <c r="G4" s="267"/>
    </row>
    <row r="5" spans="1:7" s="43" customFormat="1" ht="8.25" customHeight="1" thickTop="1" x14ac:dyDescent="0.2">
      <c r="A5" s="42"/>
      <c r="B5" s="42"/>
      <c r="C5" s="42"/>
      <c r="D5" s="42"/>
      <c r="E5" s="42"/>
      <c r="F5" s="42"/>
    </row>
    <row r="6" spans="1:7" ht="21" thickBot="1" x14ac:dyDescent="0.35">
      <c r="A6" s="44"/>
      <c r="B6" s="97" t="s">
        <v>690</v>
      </c>
      <c r="C6" s="97"/>
      <c r="D6" s="97"/>
      <c r="E6" s="97"/>
      <c r="F6" s="97"/>
      <c r="G6" s="186"/>
    </row>
    <row r="7" spans="1:7" ht="20.25" x14ac:dyDescent="0.3">
      <c r="A7" s="44"/>
      <c r="B7" s="44"/>
      <c r="C7" s="565" t="s">
        <v>691</v>
      </c>
      <c r="D7" s="44"/>
      <c r="E7" s="44"/>
      <c r="F7" s="44"/>
      <c r="G7" s="566">
        <v>28150</v>
      </c>
    </row>
    <row r="8" spans="1:7" ht="20.25" x14ac:dyDescent="0.3">
      <c r="A8" s="44"/>
      <c r="B8" s="44"/>
      <c r="C8" s="565" t="s">
        <v>500</v>
      </c>
      <c r="D8" s="44"/>
      <c r="E8" s="44"/>
      <c r="F8" s="44"/>
      <c r="G8" s="567">
        <v>700</v>
      </c>
    </row>
    <row r="9" spans="1:7" s="43" customFormat="1" ht="20.25" x14ac:dyDescent="0.2">
      <c r="A9" s="42"/>
      <c r="B9" s="42"/>
      <c r="C9" s="46" t="s">
        <v>692</v>
      </c>
      <c r="D9" s="46"/>
      <c r="E9" s="46"/>
      <c r="F9" s="42"/>
      <c r="G9" s="568">
        <v>350</v>
      </c>
    </row>
    <row r="10" spans="1:7" s="43" customFormat="1" ht="21" thickBot="1" x14ac:dyDescent="0.25">
      <c r="A10" s="42"/>
      <c r="B10" s="42"/>
      <c r="C10" s="46"/>
      <c r="D10" s="42" t="s">
        <v>693</v>
      </c>
      <c r="E10" s="46"/>
      <c r="F10" s="42"/>
      <c r="G10" s="569">
        <f>SUM(G7:G9)</f>
        <v>29200</v>
      </c>
    </row>
    <row r="11" spans="1:7" s="43" customFormat="1" ht="6" customHeight="1" x14ac:dyDescent="0.2">
      <c r="A11" s="42"/>
      <c r="B11" s="42"/>
      <c r="C11" s="46"/>
      <c r="D11" s="42"/>
      <c r="E11" s="46"/>
      <c r="F11" s="42"/>
      <c r="G11" s="570"/>
    </row>
    <row r="12" spans="1:7" s="43" customFormat="1" ht="21" thickBot="1" x14ac:dyDescent="0.25">
      <c r="A12" s="42"/>
      <c r="B12" s="54" t="s">
        <v>34</v>
      </c>
      <c r="C12" s="54"/>
      <c r="D12" s="54"/>
      <c r="E12" s="54"/>
      <c r="F12" s="54"/>
      <c r="G12" s="571"/>
    </row>
    <row r="13" spans="1:7" s="43" customFormat="1" ht="20.25" x14ac:dyDescent="0.2">
      <c r="A13" s="42"/>
      <c r="B13" s="42"/>
      <c r="C13" s="46" t="s">
        <v>40</v>
      </c>
      <c r="D13" s="46"/>
      <c r="E13" s="46"/>
      <c r="F13" s="46"/>
      <c r="G13" s="570">
        <v>358</v>
      </c>
    </row>
    <row r="14" spans="1:7" s="43" customFormat="1" ht="20.25" x14ac:dyDescent="0.2">
      <c r="A14" s="42"/>
      <c r="B14" s="42"/>
      <c r="C14" s="46" t="s">
        <v>694</v>
      </c>
      <c r="D14" s="46"/>
      <c r="E14" s="46"/>
      <c r="F14" s="46"/>
      <c r="G14" s="570">
        <f>138.88+23.62</f>
        <v>162.5</v>
      </c>
    </row>
    <row r="15" spans="1:7" s="43" customFormat="1" ht="20.25" x14ac:dyDescent="0.2">
      <c r="A15" s="42"/>
      <c r="B15" s="42"/>
      <c r="C15" s="46" t="s">
        <v>44</v>
      </c>
      <c r="D15" s="46"/>
      <c r="E15" s="46"/>
      <c r="F15" s="46"/>
      <c r="G15" s="570">
        <v>1038.6199999999999</v>
      </c>
    </row>
    <row r="16" spans="1:7" s="43" customFormat="1" ht="20.25" x14ac:dyDescent="0.2">
      <c r="A16" s="42"/>
      <c r="B16" s="42"/>
      <c r="C16" s="46" t="s">
        <v>695</v>
      </c>
      <c r="D16" s="46"/>
      <c r="E16" s="46"/>
      <c r="F16" s="46"/>
      <c r="G16" s="570">
        <v>50</v>
      </c>
    </row>
    <row r="17" spans="2:7" s="43" customFormat="1" ht="20.25" x14ac:dyDescent="0.2">
      <c r="B17" s="46"/>
      <c r="C17" s="46" t="s">
        <v>696</v>
      </c>
      <c r="D17" s="46"/>
      <c r="E17" s="46"/>
      <c r="F17" s="46"/>
      <c r="G17" s="570">
        <f>2872.5</f>
        <v>2872.5</v>
      </c>
    </row>
    <row r="18" spans="2:7" s="43" customFormat="1" ht="20.25" x14ac:dyDescent="0.2">
      <c r="B18" s="46"/>
      <c r="C18" s="46" t="s">
        <v>697</v>
      </c>
      <c r="D18" s="46"/>
      <c r="E18" s="46"/>
      <c r="F18" s="46"/>
      <c r="G18" s="570">
        <v>48</v>
      </c>
    </row>
    <row r="19" spans="2:7" s="43" customFormat="1" ht="20.25" x14ac:dyDescent="0.2">
      <c r="B19" s="46"/>
      <c r="C19" s="46" t="s">
        <v>698</v>
      </c>
      <c r="D19" s="46"/>
      <c r="E19" s="46"/>
      <c r="F19" s="46"/>
      <c r="G19" s="570">
        <v>10125</v>
      </c>
    </row>
    <row r="20" spans="2:7" s="43" customFormat="1" ht="20.25" hidden="1" x14ac:dyDescent="0.2">
      <c r="B20" s="46"/>
      <c r="C20" s="46"/>
      <c r="D20" s="46"/>
      <c r="E20" s="46"/>
      <c r="F20" s="46"/>
      <c r="G20" s="570"/>
    </row>
    <row r="21" spans="2:7" s="43" customFormat="1" ht="20.25" x14ac:dyDescent="0.2">
      <c r="B21" s="42"/>
      <c r="C21" s="42"/>
      <c r="D21" s="42" t="s">
        <v>68</v>
      </c>
      <c r="E21" s="42"/>
      <c r="F21" s="42"/>
      <c r="G21" s="572">
        <f>SUM(G13:G19)</f>
        <v>14654.619999999999</v>
      </c>
    </row>
    <row r="22" spans="2:7" s="43" customFormat="1" ht="10.5" customHeight="1" x14ac:dyDescent="0.2">
      <c r="B22" s="42"/>
      <c r="C22" s="42"/>
      <c r="D22" s="42"/>
      <c r="E22" s="42"/>
      <c r="F22" s="42"/>
      <c r="G22" s="150"/>
    </row>
    <row r="23" spans="2:7" s="43" customFormat="1" ht="20.25" x14ac:dyDescent="0.2">
      <c r="B23" s="42"/>
      <c r="C23" s="42"/>
      <c r="D23" s="573" t="s">
        <v>699</v>
      </c>
      <c r="E23" s="573"/>
      <c r="F23" s="573"/>
      <c r="G23" s="158">
        <f>G10-G21</f>
        <v>14545.380000000001</v>
      </c>
    </row>
  </sheetData>
  <pageMargins left="0.7" right="0.7" top="0.75" bottom="0.75" header="0.3" footer="0.3"/>
  <pageSetup orientation="portrait" horizontalDpi="0"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BW87"/>
  <sheetViews>
    <sheetView tabSelected="1" zoomScaleNormal="100" workbookViewId="0">
      <pane xSplit="10" ySplit="8" topLeftCell="K9" activePane="bottomRight" state="frozen"/>
      <selection pane="topRight" activeCell="J1" sqref="J1"/>
      <selection pane="bottomLeft" activeCell="A9" sqref="A9"/>
      <selection pane="bottomRight" activeCell="K13" sqref="K13"/>
    </sheetView>
  </sheetViews>
  <sheetFormatPr defaultRowHeight="18" x14ac:dyDescent="0.25"/>
  <cols>
    <col min="1" max="1" width="5.875" customWidth="1"/>
    <col min="2" max="2" width="2.875" style="33" customWidth="1"/>
    <col min="3" max="3" width="8.125" style="33" customWidth="1"/>
    <col min="4" max="4" width="8.75" style="33" customWidth="1"/>
    <col min="5" max="5" width="5.75" style="33" customWidth="1"/>
    <col min="6" max="6" width="2.875" style="33" customWidth="1"/>
    <col min="7" max="7" width="54.125" style="33" customWidth="1"/>
    <col min="8" max="8" width="19.375" style="147" hidden="1" customWidth="1"/>
    <col min="9" max="9" width="4.625" hidden="1" customWidth="1"/>
    <col min="10" max="10" width="1.625" customWidth="1"/>
    <col min="11" max="11" width="26.875" customWidth="1"/>
    <col min="12" max="12" width="24.5" customWidth="1"/>
    <col min="13" max="13" width="1.625" customWidth="1"/>
    <col min="14" max="14" width="23.125" customWidth="1"/>
    <col min="15" max="15" width="1.75" customWidth="1"/>
    <col min="16" max="16" width="15.25" bestFit="1" customWidth="1"/>
    <col min="17" max="17" width="10.625" style="3" customWidth="1"/>
    <col min="19" max="19" width="0" hidden="1" customWidth="1"/>
    <col min="20" max="20" width="26.875" hidden="1" customWidth="1"/>
    <col min="21" max="21" width="63.375" hidden="1" customWidth="1"/>
    <col min="22" max="23" width="22.375" hidden="1" customWidth="1"/>
    <col min="24" max="24" width="22.5" hidden="1" customWidth="1"/>
    <col min="25" max="25" width="9.625" hidden="1" customWidth="1"/>
    <col min="26" max="26" width="12.5" hidden="1" customWidth="1"/>
    <col min="27" max="29" width="0" hidden="1" customWidth="1"/>
    <col min="30" max="30" width="11.875" customWidth="1"/>
    <col min="32" max="32" width="14.375" customWidth="1"/>
    <col min="33" max="33" width="15" style="753" bestFit="1" customWidth="1"/>
    <col min="34" max="34" width="14" customWidth="1"/>
    <col min="258" max="258" width="2.875" customWidth="1"/>
    <col min="259" max="259" width="8.125" customWidth="1"/>
    <col min="260" max="260" width="8.75" customWidth="1"/>
    <col min="261" max="261" width="11" customWidth="1"/>
    <col min="262" max="262" width="2.875" customWidth="1"/>
    <col min="263" max="263" width="77.625" customWidth="1"/>
    <col min="264" max="264" width="20.875" customWidth="1"/>
    <col min="514" max="514" width="2.875" customWidth="1"/>
    <col min="515" max="515" width="8.125" customWidth="1"/>
    <col min="516" max="516" width="8.75" customWidth="1"/>
    <col min="517" max="517" width="11" customWidth="1"/>
    <col min="518" max="518" width="2.875" customWidth="1"/>
    <col min="519" max="519" width="77.625" customWidth="1"/>
    <col min="520" max="520" width="20.875" customWidth="1"/>
    <col min="770" max="770" width="2.875" customWidth="1"/>
    <col min="771" max="771" width="8.125" customWidth="1"/>
    <col min="772" max="772" width="8.75" customWidth="1"/>
    <col min="773" max="773" width="11" customWidth="1"/>
    <col min="774" max="774" width="2.875" customWidth="1"/>
    <col min="775" max="775" width="77.625" customWidth="1"/>
    <col min="776" max="776" width="20.875" customWidth="1"/>
    <col min="1026" max="1026" width="2.875" customWidth="1"/>
    <col min="1027" max="1027" width="8.125" customWidth="1"/>
    <col min="1028" max="1028" width="8.75" customWidth="1"/>
    <col min="1029" max="1029" width="11" customWidth="1"/>
    <col min="1030" max="1030" width="2.875" customWidth="1"/>
    <col min="1031" max="1031" width="77.625" customWidth="1"/>
    <col min="1032" max="1032" width="20.875" customWidth="1"/>
    <col min="1282" max="1282" width="2.875" customWidth="1"/>
    <col min="1283" max="1283" width="8.125" customWidth="1"/>
    <col min="1284" max="1284" width="8.75" customWidth="1"/>
    <col min="1285" max="1285" width="11" customWidth="1"/>
    <col min="1286" max="1286" width="2.875" customWidth="1"/>
    <col min="1287" max="1287" width="77.625" customWidth="1"/>
    <col min="1288" max="1288" width="20.875" customWidth="1"/>
    <col min="1538" max="1538" width="2.875" customWidth="1"/>
    <col min="1539" max="1539" width="8.125" customWidth="1"/>
    <col min="1540" max="1540" width="8.75" customWidth="1"/>
    <col min="1541" max="1541" width="11" customWidth="1"/>
    <col min="1542" max="1542" width="2.875" customWidth="1"/>
    <col min="1543" max="1543" width="77.625" customWidth="1"/>
    <col min="1544" max="1544" width="20.875" customWidth="1"/>
    <col min="1794" max="1794" width="2.875" customWidth="1"/>
    <col min="1795" max="1795" width="8.125" customWidth="1"/>
    <col min="1796" max="1796" width="8.75" customWidth="1"/>
    <col min="1797" max="1797" width="11" customWidth="1"/>
    <col min="1798" max="1798" width="2.875" customWidth="1"/>
    <col min="1799" max="1799" width="77.625" customWidth="1"/>
    <col min="1800" max="1800" width="20.875" customWidth="1"/>
    <col min="2050" max="2050" width="2.875" customWidth="1"/>
    <col min="2051" max="2051" width="8.125" customWidth="1"/>
    <col min="2052" max="2052" width="8.75" customWidth="1"/>
    <col min="2053" max="2053" width="11" customWidth="1"/>
    <col min="2054" max="2054" width="2.875" customWidth="1"/>
    <col min="2055" max="2055" width="77.625" customWidth="1"/>
    <col min="2056" max="2056" width="20.875" customWidth="1"/>
    <col min="2306" max="2306" width="2.875" customWidth="1"/>
    <col min="2307" max="2307" width="8.125" customWidth="1"/>
    <col min="2308" max="2308" width="8.75" customWidth="1"/>
    <col min="2309" max="2309" width="11" customWidth="1"/>
    <col min="2310" max="2310" width="2.875" customWidth="1"/>
    <col min="2311" max="2311" width="77.625" customWidth="1"/>
    <col min="2312" max="2312" width="20.875" customWidth="1"/>
    <col min="2562" max="2562" width="2.875" customWidth="1"/>
    <col min="2563" max="2563" width="8.125" customWidth="1"/>
    <col min="2564" max="2564" width="8.75" customWidth="1"/>
    <col min="2565" max="2565" width="11" customWidth="1"/>
    <col min="2566" max="2566" width="2.875" customWidth="1"/>
    <col min="2567" max="2567" width="77.625" customWidth="1"/>
    <col min="2568" max="2568" width="20.875" customWidth="1"/>
    <col min="2818" max="2818" width="2.875" customWidth="1"/>
    <col min="2819" max="2819" width="8.125" customWidth="1"/>
    <col min="2820" max="2820" width="8.75" customWidth="1"/>
    <col min="2821" max="2821" width="11" customWidth="1"/>
    <col min="2822" max="2822" width="2.875" customWidth="1"/>
    <col min="2823" max="2823" width="77.625" customWidth="1"/>
    <col min="2824" max="2824" width="20.875" customWidth="1"/>
    <col min="3074" max="3074" width="2.875" customWidth="1"/>
    <col min="3075" max="3075" width="8.125" customWidth="1"/>
    <col min="3076" max="3076" width="8.75" customWidth="1"/>
    <col min="3077" max="3077" width="11" customWidth="1"/>
    <col min="3078" max="3078" width="2.875" customWidth="1"/>
    <col min="3079" max="3079" width="77.625" customWidth="1"/>
    <col min="3080" max="3080" width="20.875" customWidth="1"/>
    <col min="3330" max="3330" width="2.875" customWidth="1"/>
    <col min="3331" max="3331" width="8.125" customWidth="1"/>
    <col min="3332" max="3332" width="8.75" customWidth="1"/>
    <col min="3333" max="3333" width="11" customWidth="1"/>
    <col min="3334" max="3334" width="2.875" customWidth="1"/>
    <col min="3335" max="3335" width="77.625" customWidth="1"/>
    <col min="3336" max="3336" width="20.875" customWidth="1"/>
    <col min="3586" max="3586" width="2.875" customWidth="1"/>
    <col min="3587" max="3587" width="8.125" customWidth="1"/>
    <col min="3588" max="3588" width="8.75" customWidth="1"/>
    <col min="3589" max="3589" width="11" customWidth="1"/>
    <col min="3590" max="3590" width="2.875" customWidth="1"/>
    <col min="3591" max="3591" width="77.625" customWidth="1"/>
    <col min="3592" max="3592" width="20.875" customWidth="1"/>
    <col min="3842" max="3842" width="2.875" customWidth="1"/>
    <col min="3843" max="3843" width="8.125" customWidth="1"/>
    <col min="3844" max="3844" width="8.75" customWidth="1"/>
    <col min="3845" max="3845" width="11" customWidth="1"/>
    <col min="3846" max="3846" width="2.875" customWidth="1"/>
    <col min="3847" max="3847" width="77.625" customWidth="1"/>
    <col min="3848" max="3848" width="20.875" customWidth="1"/>
    <col min="4098" max="4098" width="2.875" customWidth="1"/>
    <col min="4099" max="4099" width="8.125" customWidth="1"/>
    <col min="4100" max="4100" width="8.75" customWidth="1"/>
    <col min="4101" max="4101" width="11" customWidth="1"/>
    <col min="4102" max="4102" width="2.875" customWidth="1"/>
    <col min="4103" max="4103" width="77.625" customWidth="1"/>
    <col min="4104" max="4104" width="20.875" customWidth="1"/>
    <col min="4354" max="4354" width="2.875" customWidth="1"/>
    <col min="4355" max="4355" width="8.125" customWidth="1"/>
    <col min="4356" max="4356" width="8.75" customWidth="1"/>
    <col min="4357" max="4357" width="11" customWidth="1"/>
    <col min="4358" max="4358" width="2.875" customWidth="1"/>
    <col min="4359" max="4359" width="77.625" customWidth="1"/>
    <col min="4360" max="4360" width="20.875" customWidth="1"/>
    <col min="4610" max="4610" width="2.875" customWidth="1"/>
    <col min="4611" max="4611" width="8.125" customWidth="1"/>
    <col min="4612" max="4612" width="8.75" customWidth="1"/>
    <col min="4613" max="4613" width="11" customWidth="1"/>
    <col min="4614" max="4614" width="2.875" customWidth="1"/>
    <col min="4615" max="4615" width="77.625" customWidth="1"/>
    <col min="4616" max="4616" width="20.875" customWidth="1"/>
    <col min="4866" max="4866" width="2.875" customWidth="1"/>
    <col min="4867" max="4867" width="8.125" customWidth="1"/>
    <col min="4868" max="4868" width="8.75" customWidth="1"/>
    <col min="4869" max="4869" width="11" customWidth="1"/>
    <col min="4870" max="4870" width="2.875" customWidth="1"/>
    <col min="4871" max="4871" width="77.625" customWidth="1"/>
    <col min="4872" max="4872" width="20.875" customWidth="1"/>
    <col min="5122" max="5122" width="2.875" customWidth="1"/>
    <col min="5123" max="5123" width="8.125" customWidth="1"/>
    <col min="5124" max="5124" width="8.75" customWidth="1"/>
    <col min="5125" max="5125" width="11" customWidth="1"/>
    <col min="5126" max="5126" width="2.875" customWidth="1"/>
    <col min="5127" max="5127" width="77.625" customWidth="1"/>
    <col min="5128" max="5128" width="20.875" customWidth="1"/>
    <col min="5378" max="5378" width="2.875" customWidth="1"/>
    <col min="5379" max="5379" width="8.125" customWidth="1"/>
    <col min="5380" max="5380" width="8.75" customWidth="1"/>
    <col min="5381" max="5381" width="11" customWidth="1"/>
    <col min="5382" max="5382" width="2.875" customWidth="1"/>
    <col min="5383" max="5383" width="77.625" customWidth="1"/>
    <col min="5384" max="5384" width="20.875" customWidth="1"/>
    <col min="5634" max="5634" width="2.875" customWidth="1"/>
    <col min="5635" max="5635" width="8.125" customWidth="1"/>
    <col min="5636" max="5636" width="8.75" customWidth="1"/>
    <col min="5637" max="5637" width="11" customWidth="1"/>
    <col min="5638" max="5638" width="2.875" customWidth="1"/>
    <col min="5639" max="5639" width="77.625" customWidth="1"/>
    <col min="5640" max="5640" width="20.875" customWidth="1"/>
    <col min="5890" max="5890" width="2.875" customWidth="1"/>
    <col min="5891" max="5891" width="8.125" customWidth="1"/>
    <col min="5892" max="5892" width="8.75" customWidth="1"/>
    <col min="5893" max="5893" width="11" customWidth="1"/>
    <col min="5894" max="5894" width="2.875" customWidth="1"/>
    <col min="5895" max="5895" width="77.625" customWidth="1"/>
    <col min="5896" max="5896" width="20.875" customWidth="1"/>
    <col min="6146" max="6146" width="2.875" customWidth="1"/>
    <col min="6147" max="6147" width="8.125" customWidth="1"/>
    <col min="6148" max="6148" width="8.75" customWidth="1"/>
    <col min="6149" max="6149" width="11" customWidth="1"/>
    <col min="6150" max="6150" width="2.875" customWidth="1"/>
    <col min="6151" max="6151" width="77.625" customWidth="1"/>
    <col min="6152" max="6152" width="20.875" customWidth="1"/>
    <col min="6402" max="6402" width="2.875" customWidth="1"/>
    <col min="6403" max="6403" width="8.125" customWidth="1"/>
    <col min="6404" max="6404" width="8.75" customWidth="1"/>
    <col min="6405" max="6405" width="11" customWidth="1"/>
    <col min="6406" max="6406" width="2.875" customWidth="1"/>
    <col min="6407" max="6407" width="77.625" customWidth="1"/>
    <col min="6408" max="6408" width="20.875" customWidth="1"/>
    <col min="6658" max="6658" width="2.875" customWidth="1"/>
    <col min="6659" max="6659" width="8.125" customWidth="1"/>
    <col min="6660" max="6660" width="8.75" customWidth="1"/>
    <col min="6661" max="6661" width="11" customWidth="1"/>
    <col min="6662" max="6662" width="2.875" customWidth="1"/>
    <col min="6663" max="6663" width="77.625" customWidth="1"/>
    <col min="6664" max="6664" width="20.875" customWidth="1"/>
    <col min="6914" max="6914" width="2.875" customWidth="1"/>
    <col min="6915" max="6915" width="8.125" customWidth="1"/>
    <col min="6916" max="6916" width="8.75" customWidth="1"/>
    <col min="6917" max="6917" width="11" customWidth="1"/>
    <col min="6918" max="6918" width="2.875" customWidth="1"/>
    <col min="6919" max="6919" width="77.625" customWidth="1"/>
    <col min="6920" max="6920" width="20.875" customWidth="1"/>
    <col min="7170" max="7170" width="2.875" customWidth="1"/>
    <col min="7171" max="7171" width="8.125" customWidth="1"/>
    <col min="7172" max="7172" width="8.75" customWidth="1"/>
    <col min="7173" max="7173" width="11" customWidth="1"/>
    <col min="7174" max="7174" width="2.875" customWidth="1"/>
    <col min="7175" max="7175" width="77.625" customWidth="1"/>
    <col min="7176" max="7176" width="20.875" customWidth="1"/>
    <col min="7426" max="7426" width="2.875" customWidth="1"/>
    <col min="7427" max="7427" width="8.125" customWidth="1"/>
    <col min="7428" max="7428" width="8.75" customWidth="1"/>
    <col min="7429" max="7429" width="11" customWidth="1"/>
    <col min="7430" max="7430" width="2.875" customWidth="1"/>
    <col min="7431" max="7431" width="77.625" customWidth="1"/>
    <col min="7432" max="7432" width="20.875" customWidth="1"/>
    <col min="7682" max="7682" width="2.875" customWidth="1"/>
    <col min="7683" max="7683" width="8.125" customWidth="1"/>
    <col min="7684" max="7684" width="8.75" customWidth="1"/>
    <col min="7685" max="7685" width="11" customWidth="1"/>
    <col min="7686" max="7686" width="2.875" customWidth="1"/>
    <col min="7687" max="7687" width="77.625" customWidth="1"/>
    <col min="7688" max="7688" width="20.875" customWidth="1"/>
    <col min="7938" max="7938" width="2.875" customWidth="1"/>
    <col min="7939" max="7939" width="8.125" customWidth="1"/>
    <col min="7940" max="7940" width="8.75" customWidth="1"/>
    <col min="7941" max="7941" width="11" customWidth="1"/>
    <col min="7942" max="7942" width="2.875" customWidth="1"/>
    <col min="7943" max="7943" width="77.625" customWidth="1"/>
    <col min="7944" max="7944" width="20.875" customWidth="1"/>
    <col min="8194" max="8194" width="2.875" customWidth="1"/>
    <col min="8195" max="8195" width="8.125" customWidth="1"/>
    <col min="8196" max="8196" width="8.75" customWidth="1"/>
    <col min="8197" max="8197" width="11" customWidth="1"/>
    <col min="8198" max="8198" width="2.875" customWidth="1"/>
    <col min="8199" max="8199" width="77.625" customWidth="1"/>
    <col min="8200" max="8200" width="20.875" customWidth="1"/>
    <col min="8450" max="8450" width="2.875" customWidth="1"/>
    <col min="8451" max="8451" width="8.125" customWidth="1"/>
    <col min="8452" max="8452" width="8.75" customWidth="1"/>
    <col min="8453" max="8453" width="11" customWidth="1"/>
    <col min="8454" max="8454" width="2.875" customWidth="1"/>
    <col min="8455" max="8455" width="77.625" customWidth="1"/>
    <col min="8456" max="8456" width="20.875" customWidth="1"/>
    <col min="8706" max="8706" width="2.875" customWidth="1"/>
    <col min="8707" max="8707" width="8.125" customWidth="1"/>
    <col min="8708" max="8708" width="8.75" customWidth="1"/>
    <col min="8709" max="8709" width="11" customWidth="1"/>
    <col min="8710" max="8710" width="2.875" customWidth="1"/>
    <col min="8711" max="8711" width="77.625" customWidth="1"/>
    <col min="8712" max="8712" width="20.875" customWidth="1"/>
    <col min="8962" max="8962" width="2.875" customWidth="1"/>
    <col min="8963" max="8963" width="8.125" customWidth="1"/>
    <col min="8964" max="8964" width="8.75" customWidth="1"/>
    <col min="8965" max="8965" width="11" customWidth="1"/>
    <col min="8966" max="8966" width="2.875" customWidth="1"/>
    <col min="8967" max="8967" width="77.625" customWidth="1"/>
    <col min="8968" max="8968" width="20.875" customWidth="1"/>
    <col min="9218" max="9218" width="2.875" customWidth="1"/>
    <col min="9219" max="9219" width="8.125" customWidth="1"/>
    <col min="9220" max="9220" width="8.75" customWidth="1"/>
    <col min="9221" max="9221" width="11" customWidth="1"/>
    <col min="9222" max="9222" width="2.875" customWidth="1"/>
    <col min="9223" max="9223" width="77.625" customWidth="1"/>
    <col min="9224" max="9224" width="20.875" customWidth="1"/>
    <col min="9474" max="9474" width="2.875" customWidth="1"/>
    <col min="9475" max="9475" width="8.125" customWidth="1"/>
    <col min="9476" max="9476" width="8.75" customWidth="1"/>
    <col min="9477" max="9477" width="11" customWidth="1"/>
    <col min="9478" max="9478" width="2.875" customWidth="1"/>
    <col min="9479" max="9479" width="77.625" customWidth="1"/>
    <col min="9480" max="9480" width="20.875" customWidth="1"/>
    <col min="9730" max="9730" width="2.875" customWidth="1"/>
    <col min="9731" max="9731" width="8.125" customWidth="1"/>
    <col min="9732" max="9732" width="8.75" customWidth="1"/>
    <col min="9733" max="9733" width="11" customWidth="1"/>
    <col min="9734" max="9734" width="2.875" customWidth="1"/>
    <col min="9735" max="9735" width="77.625" customWidth="1"/>
    <col min="9736" max="9736" width="20.875" customWidth="1"/>
    <col min="9986" max="9986" width="2.875" customWidth="1"/>
    <col min="9987" max="9987" width="8.125" customWidth="1"/>
    <col min="9988" max="9988" width="8.75" customWidth="1"/>
    <col min="9989" max="9989" width="11" customWidth="1"/>
    <col min="9990" max="9990" width="2.875" customWidth="1"/>
    <col min="9991" max="9991" width="77.625" customWidth="1"/>
    <col min="9992" max="9992" width="20.875" customWidth="1"/>
    <col min="10242" max="10242" width="2.875" customWidth="1"/>
    <col min="10243" max="10243" width="8.125" customWidth="1"/>
    <col min="10244" max="10244" width="8.75" customWidth="1"/>
    <col min="10245" max="10245" width="11" customWidth="1"/>
    <col min="10246" max="10246" width="2.875" customWidth="1"/>
    <col min="10247" max="10247" width="77.625" customWidth="1"/>
    <col min="10248" max="10248" width="20.875" customWidth="1"/>
    <col min="10498" max="10498" width="2.875" customWidth="1"/>
    <col min="10499" max="10499" width="8.125" customWidth="1"/>
    <col min="10500" max="10500" width="8.75" customWidth="1"/>
    <col min="10501" max="10501" width="11" customWidth="1"/>
    <col min="10502" max="10502" width="2.875" customWidth="1"/>
    <col min="10503" max="10503" width="77.625" customWidth="1"/>
    <col min="10504" max="10504" width="20.875" customWidth="1"/>
    <col min="10754" max="10754" width="2.875" customWidth="1"/>
    <col min="10755" max="10755" width="8.125" customWidth="1"/>
    <col min="10756" max="10756" width="8.75" customWidth="1"/>
    <col min="10757" max="10757" width="11" customWidth="1"/>
    <col min="10758" max="10758" width="2.875" customWidth="1"/>
    <col min="10759" max="10759" width="77.625" customWidth="1"/>
    <col min="10760" max="10760" width="20.875" customWidth="1"/>
    <col min="11010" max="11010" width="2.875" customWidth="1"/>
    <col min="11011" max="11011" width="8.125" customWidth="1"/>
    <col min="11012" max="11012" width="8.75" customWidth="1"/>
    <col min="11013" max="11013" width="11" customWidth="1"/>
    <col min="11014" max="11014" width="2.875" customWidth="1"/>
    <col min="11015" max="11015" width="77.625" customWidth="1"/>
    <col min="11016" max="11016" width="20.875" customWidth="1"/>
    <col min="11266" max="11266" width="2.875" customWidth="1"/>
    <col min="11267" max="11267" width="8.125" customWidth="1"/>
    <col min="11268" max="11268" width="8.75" customWidth="1"/>
    <col min="11269" max="11269" width="11" customWidth="1"/>
    <col min="11270" max="11270" width="2.875" customWidth="1"/>
    <col min="11271" max="11271" width="77.625" customWidth="1"/>
    <col min="11272" max="11272" width="20.875" customWidth="1"/>
    <col min="11522" max="11522" width="2.875" customWidth="1"/>
    <col min="11523" max="11523" width="8.125" customWidth="1"/>
    <col min="11524" max="11524" width="8.75" customWidth="1"/>
    <col min="11525" max="11525" width="11" customWidth="1"/>
    <col min="11526" max="11526" width="2.875" customWidth="1"/>
    <col min="11527" max="11527" width="77.625" customWidth="1"/>
    <col min="11528" max="11528" width="20.875" customWidth="1"/>
    <col min="11778" max="11778" width="2.875" customWidth="1"/>
    <col min="11779" max="11779" width="8.125" customWidth="1"/>
    <col min="11780" max="11780" width="8.75" customWidth="1"/>
    <col min="11781" max="11781" width="11" customWidth="1"/>
    <col min="11782" max="11782" width="2.875" customWidth="1"/>
    <col min="11783" max="11783" width="77.625" customWidth="1"/>
    <col min="11784" max="11784" width="20.875" customWidth="1"/>
    <col min="12034" max="12034" width="2.875" customWidth="1"/>
    <col min="12035" max="12035" width="8.125" customWidth="1"/>
    <col min="12036" max="12036" width="8.75" customWidth="1"/>
    <col min="12037" max="12037" width="11" customWidth="1"/>
    <col min="12038" max="12038" width="2.875" customWidth="1"/>
    <col min="12039" max="12039" width="77.625" customWidth="1"/>
    <col min="12040" max="12040" width="20.875" customWidth="1"/>
    <col min="12290" max="12290" width="2.875" customWidth="1"/>
    <col min="12291" max="12291" width="8.125" customWidth="1"/>
    <col min="12292" max="12292" width="8.75" customWidth="1"/>
    <col min="12293" max="12293" width="11" customWidth="1"/>
    <col min="12294" max="12294" width="2.875" customWidth="1"/>
    <col min="12295" max="12295" width="77.625" customWidth="1"/>
    <col min="12296" max="12296" width="20.875" customWidth="1"/>
    <col min="12546" max="12546" width="2.875" customWidth="1"/>
    <col min="12547" max="12547" width="8.125" customWidth="1"/>
    <col min="12548" max="12548" width="8.75" customWidth="1"/>
    <col min="12549" max="12549" width="11" customWidth="1"/>
    <col min="12550" max="12550" width="2.875" customWidth="1"/>
    <col min="12551" max="12551" width="77.625" customWidth="1"/>
    <col min="12552" max="12552" width="20.875" customWidth="1"/>
    <col min="12802" max="12802" width="2.875" customWidth="1"/>
    <col min="12803" max="12803" width="8.125" customWidth="1"/>
    <col min="12804" max="12804" width="8.75" customWidth="1"/>
    <col min="12805" max="12805" width="11" customWidth="1"/>
    <col min="12806" max="12806" width="2.875" customWidth="1"/>
    <col min="12807" max="12807" width="77.625" customWidth="1"/>
    <col min="12808" max="12808" width="20.875" customWidth="1"/>
    <col min="13058" max="13058" width="2.875" customWidth="1"/>
    <col min="13059" max="13059" width="8.125" customWidth="1"/>
    <col min="13060" max="13060" width="8.75" customWidth="1"/>
    <col min="13061" max="13061" width="11" customWidth="1"/>
    <col min="13062" max="13062" width="2.875" customWidth="1"/>
    <col min="13063" max="13063" width="77.625" customWidth="1"/>
    <col min="13064" max="13064" width="20.875" customWidth="1"/>
    <col min="13314" max="13314" width="2.875" customWidth="1"/>
    <col min="13315" max="13315" width="8.125" customWidth="1"/>
    <col min="13316" max="13316" width="8.75" customWidth="1"/>
    <col min="13317" max="13317" width="11" customWidth="1"/>
    <col min="13318" max="13318" width="2.875" customWidth="1"/>
    <col min="13319" max="13319" width="77.625" customWidth="1"/>
    <col min="13320" max="13320" width="20.875" customWidth="1"/>
    <col min="13570" max="13570" width="2.875" customWidth="1"/>
    <col min="13571" max="13571" width="8.125" customWidth="1"/>
    <col min="13572" max="13572" width="8.75" customWidth="1"/>
    <col min="13573" max="13573" width="11" customWidth="1"/>
    <col min="13574" max="13574" width="2.875" customWidth="1"/>
    <col min="13575" max="13575" width="77.625" customWidth="1"/>
    <col min="13576" max="13576" width="20.875" customWidth="1"/>
    <col min="13826" max="13826" width="2.875" customWidth="1"/>
    <col min="13827" max="13827" width="8.125" customWidth="1"/>
    <col min="13828" max="13828" width="8.75" customWidth="1"/>
    <col min="13829" max="13829" width="11" customWidth="1"/>
    <col min="13830" max="13830" width="2.875" customWidth="1"/>
    <col min="13831" max="13831" width="77.625" customWidth="1"/>
    <col min="13832" max="13832" width="20.875" customWidth="1"/>
    <col min="14082" max="14082" width="2.875" customWidth="1"/>
    <col min="14083" max="14083" width="8.125" customWidth="1"/>
    <col min="14084" max="14084" width="8.75" customWidth="1"/>
    <col min="14085" max="14085" width="11" customWidth="1"/>
    <col min="14086" max="14086" width="2.875" customWidth="1"/>
    <col min="14087" max="14087" width="77.625" customWidth="1"/>
    <col min="14088" max="14088" width="20.875" customWidth="1"/>
    <col min="14338" max="14338" width="2.875" customWidth="1"/>
    <col min="14339" max="14339" width="8.125" customWidth="1"/>
    <col min="14340" max="14340" width="8.75" customWidth="1"/>
    <col min="14341" max="14341" width="11" customWidth="1"/>
    <col min="14342" max="14342" width="2.875" customWidth="1"/>
    <col min="14343" max="14343" width="77.625" customWidth="1"/>
    <col min="14344" max="14344" width="20.875" customWidth="1"/>
    <col min="14594" max="14594" width="2.875" customWidth="1"/>
    <col min="14595" max="14595" width="8.125" customWidth="1"/>
    <col min="14596" max="14596" width="8.75" customWidth="1"/>
    <col min="14597" max="14597" width="11" customWidth="1"/>
    <col min="14598" max="14598" width="2.875" customWidth="1"/>
    <col min="14599" max="14599" width="77.625" customWidth="1"/>
    <col min="14600" max="14600" width="20.875" customWidth="1"/>
    <col min="14850" max="14850" width="2.875" customWidth="1"/>
    <col min="14851" max="14851" width="8.125" customWidth="1"/>
    <col min="14852" max="14852" width="8.75" customWidth="1"/>
    <col min="14853" max="14853" width="11" customWidth="1"/>
    <col min="14854" max="14854" width="2.875" customWidth="1"/>
    <col min="14855" max="14855" width="77.625" customWidth="1"/>
    <col min="14856" max="14856" width="20.875" customWidth="1"/>
    <col min="15106" max="15106" width="2.875" customWidth="1"/>
    <col min="15107" max="15107" width="8.125" customWidth="1"/>
    <col min="15108" max="15108" width="8.75" customWidth="1"/>
    <col min="15109" max="15109" width="11" customWidth="1"/>
    <col min="15110" max="15110" width="2.875" customWidth="1"/>
    <col min="15111" max="15111" width="77.625" customWidth="1"/>
    <col min="15112" max="15112" width="20.875" customWidth="1"/>
    <col min="15362" max="15362" width="2.875" customWidth="1"/>
    <col min="15363" max="15363" width="8.125" customWidth="1"/>
    <col min="15364" max="15364" width="8.75" customWidth="1"/>
    <col min="15365" max="15365" width="11" customWidth="1"/>
    <col min="15366" max="15366" width="2.875" customWidth="1"/>
    <col min="15367" max="15367" width="77.625" customWidth="1"/>
    <col min="15368" max="15368" width="20.875" customWidth="1"/>
    <col min="15618" max="15618" width="2.875" customWidth="1"/>
    <col min="15619" max="15619" width="8.125" customWidth="1"/>
    <col min="15620" max="15620" width="8.75" customWidth="1"/>
    <col min="15621" max="15621" width="11" customWidth="1"/>
    <col min="15622" max="15622" width="2.875" customWidth="1"/>
    <col min="15623" max="15623" width="77.625" customWidth="1"/>
    <col min="15624" max="15624" width="20.875" customWidth="1"/>
    <col min="15874" max="15874" width="2.875" customWidth="1"/>
    <col min="15875" max="15875" width="8.125" customWidth="1"/>
    <col min="15876" max="15876" width="8.75" customWidth="1"/>
    <col min="15877" max="15877" width="11" customWidth="1"/>
    <col min="15878" max="15878" width="2.875" customWidth="1"/>
    <col min="15879" max="15879" width="77.625" customWidth="1"/>
    <col min="15880" max="15880" width="20.875" customWidth="1"/>
    <col min="16130" max="16130" width="2.875" customWidth="1"/>
    <col min="16131" max="16131" width="8.125" customWidth="1"/>
    <col min="16132" max="16132" width="8.75" customWidth="1"/>
    <col min="16133" max="16133" width="11" customWidth="1"/>
    <col min="16134" max="16134" width="2.875" customWidth="1"/>
    <col min="16135" max="16135" width="77.625" customWidth="1"/>
    <col min="16136" max="16136" width="20.875" customWidth="1"/>
  </cols>
  <sheetData>
    <row r="1" spans="2:75" ht="22.5" customHeight="1" x14ac:dyDescent="0.4">
      <c r="B1" s="34" t="s">
        <v>0</v>
      </c>
      <c r="C1" s="35"/>
      <c r="D1" s="36"/>
      <c r="E1" s="36"/>
      <c r="F1" s="36"/>
      <c r="G1" s="35"/>
      <c r="H1" s="148"/>
      <c r="I1" s="35"/>
      <c r="J1" s="35"/>
      <c r="K1" s="35"/>
      <c r="L1" s="35"/>
      <c r="M1" s="35"/>
      <c r="N1" s="35"/>
      <c r="O1" s="35"/>
      <c r="P1" s="35"/>
      <c r="Q1" s="36"/>
      <c r="R1" s="35"/>
      <c r="S1" s="35"/>
      <c r="T1" s="35"/>
      <c r="U1" s="34" t="s">
        <v>0</v>
      </c>
      <c r="W1" s="35"/>
      <c r="X1" s="35"/>
    </row>
    <row r="2" spans="2:75" ht="22.5" customHeight="1" x14ac:dyDescent="0.4">
      <c r="B2" s="34" t="s">
        <v>100</v>
      </c>
      <c r="C2" s="35"/>
      <c r="D2" s="36"/>
      <c r="E2" s="36"/>
      <c r="F2" s="36"/>
      <c r="G2" s="35"/>
      <c r="H2" s="148"/>
      <c r="I2" s="35"/>
      <c r="J2" s="35"/>
      <c r="K2" s="35"/>
      <c r="L2" s="35"/>
      <c r="M2" s="35"/>
      <c r="N2" s="35"/>
      <c r="O2" s="35"/>
      <c r="P2" s="35"/>
      <c r="Q2" s="36"/>
      <c r="R2" s="35"/>
      <c r="S2" s="35"/>
      <c r="T2" s="35"/>
      <c r="U2" s="34" t="s">
        <v>100</v>
      </c>
      <c r="W2" s="35"/>
      <c r="X2" s="35"/>
    </row>
    <row r="3" spans="2:75" ht="21.75" customHeight="1" x14ac:dyDescent="0.4">
      <c r="B3" s="34" t="str">
        <f>'August''25 State of Activities'!B3</f>
        <v>Eight Months Ended August 31, 2025 and August 31, 2024</v>
      </c>
      <c r="C3" s="35"/>
      <c r="D3" s="36"/>
      <c r="E3" s="36"/>
      <c r="F3" s="36"/>
      <c r="G3" s="35"/>
      <c r="H3" s="148"/>
      <c r="I3" s="35"/>
      <c r="J3" s="35"/>
      <c r="K3" s="35"/>
      <c r="L3" s="35"/>
      <c r="M3" s="35"/>
      <c r="N3" s="35"/>
      <c r="O3" s="35"/>
      <c r="P3" s="35"/>
      <c r="Q3" s="36"/>
      <c r="R3" s="35"/>
      <c r="S3" s="35"/>
      <c r="T3" s="35"/>
      <c r="U3" s="34" t="s">
        <v>700</v>
      </c>
      <c r="V3" s="35"/>
      <c r="W3" s="35"/>
      <c r="X3" s="35"/>
    </row>
    <row r="4" spans="2:75" ht="22.5" customHeight="1" x14ac:dyDescent="0.4">
      <c r="B4" s="34"/>
      <c r="C4" s="35"/>
      <c r="D4" s="36"/>
      <c r="E4" s="36"/>
      <c r="F4" s="36"/>
      <c r="G4" s="35"/>
      <c r="H4" s="148"/>
      <c r="I4" s="35"/>
      <c r="J4" s="35"/>
      <c r="K4" s="35"/>
      <c r="L4" s="35"/>
      <c r="M4" s="35"/>
      <c r="N4" s="35"/>
      <c r="O4" s="35"/>
      <c r="P4" s="35"/>
      <c r="Q4" s="36"/>
      <c r="R4" s="35"/>
      <c r="S4" s="35"/>
      <c r="T4" s="35"/>
      <c r="U4" s="35"/>
      <c r="V4" s="35"/>
      <c r="W4" s="35"/>
      <c r="X4" s="35"/>
      <c r="AG4"/>
    </row>
    <row r="5" spans="2:75" s="38" customFormat="1" ht="8.25" customHeight="1" x14ac:dyDescent="0.2">
      <c r="B5" s="37"/>
      <c r="C5" s="37"/>
      <c r="D5" s="37"/>
      <c r="E5" s="37"/>
      <c r="F5" s="37"/>
      <c r="G5" s="37"/>
      <c r="H5" s="149"/>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2:75" s="41" customFormat="1" ht="24.75" customHeight="1" x14ac:dyDescent="0.2">
      <c r="B6" s="39" t="s">
        <v>3</v>
      </c>
      <c r="C6" s="39"/>
      <c r="D6" s="39"/>
      <c r="E6" s="39"/>
      <c r="F6" s="39"/>
      <c r="G6" s="39"/>
      <c r="H6" s="267"/>
      <c r="I6" s="156" t="s">
        <v>4</v>
      </c>
      <c r="J6" s="40"/>
      <c r="K6" s="275" t="s">
        <v>4</v>
      </c>
      <c r="L6" s="272"/>
      <c r="M6" s="275"/>
      <c r="N6" s="272"/>
      <c r="O6" s="275"/>
      <c r="P6" s="275" t="s">
        <v>5</v>
      </c>
      <c r="Q6" s="272" t="s">
        <v>6</v>
      </c>
      <c r="R6" s="40"/>
      <c r="S6" s="40"/>
      <c r="T6" s="40"/>
      <c r="U6" s="40"/>
      <c r="V6" s="885" t="s">
        <v>701</v>
      </c>
      <c r="W6" s="885"/>
      <c r="X6" s="885"/>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2:75" s="43" customFormat="1" ht="8.25" customHeight="1" x14ac:dyDescent="0.2">
      <c r="B7" s="42"/>
      <c r="C7" s="42"/>
      <c r="D7" s="42"/>
      <c r="E7" s="42"/>
      <c r="F7" s="42"/>
      <c r="G7" s="42"/>
      <c r="H7" s="150"/>
      <c r="Q7" s="38"/>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row>
    <row r="8" spans="2:75" ht="20.25" x14ac:dyDescent="0.3">
      <c r="B8" s="44"/>
      <c r="C8" s="800" t="s">
        <v>7</v>
      </c>
      <c r="D8" s="97"/>
      <c r="E8" s="97"/>
      <c r="F8" s="97"/>
      <c r="G8" s="97"/>
      <c r="H8" s="186">
        <v>41090</v>
      </c>
      <c r="I8" s="186">
        <v>41274</v>
      </c>
      <c r="J8" s="223"/>
      <c r="K8" s="186" t="str">
        <f>'August''25 State of Activities'!H8</f>
        <v>August 31 2025</v>
      </c>
      <c r="L8" s="443">
        <v>45657</v>
      </c>
      <c r="M8" s="223"/>
      <c r="N8" s="443" t="str">
        <f>'August''25 State of Activities'!K8</f>
        <v>August 31 2024</v>
      </c>
      <c r="P8" s="886" t="s">
        <v>702</v>
      </c>
      <c r="Q8" s="886"/>
      <c r="T8" s="186"/>
      <c r="V8" s="682" t="s">
        <v>703</v>
      </c>
      <c r="W8" s="686" t="s">
        <v>704</v>
      </c>
      <c r="X8" s="697" t="s">
        <v>705</v>
      </c>
      <c r="AG8"/>
    </row>
    <row r="9" spans="2:75" s="43" customFormat="1" ht="20.25" x14ac:dyDescent="0.2">
      <c r="B9" s="42"/>
      <c r="C9" s="42"/>
      <c r="D9" s="46" t="s">
        <v>14</v>
      </c>
      <c r="E9" s="46"/>
      <c r="F9" s="46"/>
      <c r="G9" s="42"/>
      <c r="H9" s="150">
        <v>127719</v>
      </c>
      <c r="I9" s="150">
        <v>67566.5</v>
      </c>
      <c r="J9" s="150"/>
      <c r="K9" s="159">
        <f>'August''25 State of Activities'!H9</f>
        <v>135426.89000000001</v>
      </c>
      <c r="L9" s="159">
        <f>'August''25 State of Activities'!I9</f>
        <v>187799</v>
      </c>
      <c r="M9" s="159"/>
      <c r="N9" s="159">
        <f>'August''25 State of Activities'!K9</f>
        <v>119920.82</v>
      </c>
      <c r="P9" s="260">
        <f>K9-N9</f>
        <v>15506.070000000007</v>
      </c>
      <c r="Q9" s="675">
        <f>(K9-N9)/N9</f>
        <v>0.12930256814454744</v>
      </c>
      <c r="R9" s="43" t="s">
        <v>706</v>
      </c>
      <c r="T9" s="159">
        <f>AVERAGE(K9:L9)</f>
        <v>161612.94500000001</v>
      </c>
      <c r="U9" s="46" t="str">
        <f>D9</f>
        <v xml:space="preserve">Transportation - Medicaid </v>
      </c>
      <c r="V9" s="159">
        <v>83419.44</v>
      </c>
      <c r="W9" s="687">
        <f>K9-V9</f>
        <v>52007.450000000012</v>
      </c>
      <c r="X9" s="159">
        <f>W9+V9</f>
        <v>135426.89000000001</v>
      </c>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row>
    <row r="10" spans="2:75" s="43" customFormat="1" ht="20.25" x14ac:dyDescent="0.2">
      <c r="B10" s="42"/>
      <c r="C10" s="42"/>
      <c r="D10" s="46" t="s">
        <v>102</v>
      </c>
      <c r="E10" s="46"/>
      <c r="F10" s="46"/>
      <c r="G10" s="42"/>
      <c r="H10" s="159">
        <v>875436</v>
      </c>
      <c r="I10" s="159">
        <v>372424.1</v>
      </c>
      <c r="J10" s="159"/>
      <c r="K10" s="150">
        <v>2528.44</v>
      </c>
      <c r="L10" s="150">
        <v>4104</v>
      </c>
      <c r="M10" s="159"/>
      <c r="N10" s="150">
        <v>3622.53</v>
      </c>
      <c r="P10" s="334">
        <f>K10-N10</f>
        <v>-1094.0900000000001</v>
      </c>
      <c r="Q10" s="675">
        <f>(K10-N10)/N10</f>
        <v>-0.30202372375108005</v>
      </c>
      <c r="R10" s="43" t="s">
        <v>707</v>
      </c>
      <c r="T10" s="150">
        <v>4100</v>
      </c>
      <c r="U10" s="46" t="str">
        <f>D10</f>
        <v>Grants - New York State - Rural Health Network</v>
      </c>
      <c r="V10" s="150">
        <v>2052</v>
      </c>
      <c r="W10" s="688">
        <f>K10-V10</f>
        <v>476.44000000000005</v>
      </c>
      <c r="X10" s="150">
        <f t="shared" ref="X10:X61" si="0">W10+V10</f>
        <v>2528.44</v>
      </c>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2:75" s="43" customFormat="1" ht="20.25" x14ac:dyDescent="0.2">
      <c r="B11" s="42"/>
      <c r="C11" s="42"/>
      <c r="D11" s="46" t="s">
        <v>103</v>
      </c>
      <c r="E11" s="46"/>
      <c r="F11" s="46"/>
      <c r="G11" s="42"/>
      <c r="H11" s="159"/>
      <c r="I11" s="159"/>
      <c r="J11" s="159"/>
      <c r="K11" s="150">
        <v>7310</v>
      </c>
      <c r="L11" s="150">
        <v>8000</v>
      </c>
      <c r="M11" s="159"/>
      <c r="N11" s="150">
        <v>1838.74</v>
      </c>
      <c r="P11" s="334">
        <f>K11-N11</f>
        <v>5471.26</v>
      </c>
      <c r="Q11" s="675">
        <f>(K11-N11)/N11</f>
        <v>2.9755484734111404</v>
      </c>
      <c r="R11" s="43" t="s">
        <v>708</v>
      </c>
      <c r="T11" s="150">
        <f>15310-8000</f>
        <v>7310</v>
      </c>
      <c r="U11" s="46" t="str">
        <f>D11</f>
        <v>Grants - New York State - Assoc for Rural Health</v>
      </c>
      <c r="V11" s="150"/>
      <c r="W11" s="688">
        <f>K11-V11</f>
        <v>7310</v>
      </c>
      <c r="X11" s="150">
        <f t="shared" si="0"/>
        <v>7310</v>
      </c>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2:75" s="43" customFormat="1" ht="20.25" x14ac:dyDescent="0.2">
      <c r="B12" s="42"/>
      <c r="C12" s="42"/>
      <c r="D12" s="46" t="s">
        <v>709</v>
      </c>
      <c r="E12" s="46"/>
      <c r="F12" s="46"/>
      <c r="G12" s="42"/>
      <c r="H12" s="159"/>
      <c r="I12" s="159"/>
      <c r="J12" s="159"/>
      <c r="K12" s="150">
        <v>59828.25</v>
      </c>
      <c r="L12" s="150"/>
      <c r="M12" s="159"/>
      <c r="N12" s="150"/>
      <c r="P12" s="334">
        <f>K12-N12</f>
        <v>59828.25</v>
      </c>
      <c r="Q12" s="675" t="s">
        <v>721</v>
      </c>
      <c r="T12" s="150"/>
      <c r="U12" s="46"/>
      <c r="V12" s="150"/>
      <c r="W12" s="688"/>
      <c r="X12" s="150"/>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2:75" s="43" customFormat="1" ht="20.25" x14ac:dyDescent="0.2">
      <c r="B13" s="42"/>
      <c r="C13" s="42"/>
      <c r="D13" s="46" t="s">
        <v>16</v>
      </c>
      <c r="E13" s="46"/>
      <c r="F13" s="46"/>
      <c r="G13" s="42"/>
      <c r="H13" s="150"/>
      <c r="I13" s="150"/>
      <c r="J13" s="150"/>
      <c r="K13" s="150"/>
      <c r="L13" s="150"/>
      <c r="M13" s="150"/>
      <c r="N13" s="150"/>
      <c r="P13" s="334"/>
      <c r="Q13" s="279"/>
      <c r="T13" s="150"/>
      <c r="U13" s="683" t="str">
        <f>D13</f>
        <v>Columbia County Departments</v>
      </c>
      <c r="V13" s="150"/>
      <c r="W13" s="688">
        <f t="shared" ref="W13:W22" si="1">K13-V13</f>
        <v>0</v>
      </c>
      <c r="X13" s="150">
        <f t="shared" si="0"/>
        <v>0</v>
      </c>
    </row>
    <row r="14" spans="2:75" s="43" customFormat="1" ht="20.25" x14ac:dyDescent="0.2">
      <c r="B14" s="42"/>
      <c r="C14" s="42"/>
      <c r="E14" s="46" t="s">
        <v>104</v>
      </c>
      <c r="F14" s="46"/>
      <c r="G14" s="42"/>
      <c r="H14" s="150">
        <v>94235.25</v>
      </c>
      <c r="I14" s="150">
        <v>37190.379999999997</v>
      </c>
      <c r="J14" s="150"/>
      <c r="K14" s="150">
        <f>'August''25 Revenues &amp; Expenses'!J11</f>
        <v>34333.360000000001</v>
      </c>
      <c r="L14" s="150">
        <v>50000</v>
      </c>
      <c r="M14" s="150"/>
      <c r="N14" s="150">
        <v>33333.360000000001</v>
      </c>
      <c r="P14" s="334">
        <f t="shared" ref="P14:P30" si="2">K14-N14</f>
        <v>1000</v>
      </c>
      <c r="Q14" s="675">
        <f t="shared" ref="Q14:Q21" si="3">(K14-N14)/N14</f>
        <v>2.9999976000019201E-2</v>
      </c>
      <c r="T14" s="150">
        <v>51500</v>
      </c>
      <c r="U14" s="683" t="s">
        <v>710</v>
      </c>
      <c r="V14" s="150">
        <v>25000.02</v>
      </c>
      <c r="W14" s="688">
        <f t="shared" si="1"/>
        <v>9333.34</v>
      </c>
      <c r="X14" s="150">
        <f t="shared" si="0"/>
        <v>34333.360000000001</v>
      </c>
    </row>
    <row r="15" spans="2:75" s="43" customFormat="1" ht="20.25" x14ac:dyDescent="0.2">
      <c r="B15" s="42"/>
      <c r="C15" s="42"/>
      <c r="E15" s="46" t="s">
        <v>18</v>
      </c>
      <c r="F15" s="46"/>
      <c r="G15" s="42"/>
      <c r="H15" s="150"/>
      <c r="I15" s="150"/>
      <c r="J15" s="150"/>
      <c r="K15" s="150">
        <f>'August''25 Revenues &amp; Expenses'!J16</f>
        <v>9000</v>
      </c>
      <c r="L15" s="150">
        <v>18000</v>
      </c>
      <c r="M15" s="150"/>
      <c r="N15" s="150">
        <f>'August''25 State of Activities'!K17</f>
        <v>12000</v>
      </c>
      <c r="P15" s="334">
        <f t="shared" si="2"/>
        <v>-3000</v>
      </c>
      <c r="Q15" s="675">
        <f t="shared" si="3"/>
        <v>-0.25</v>
      </c>
      <c r="R15" s="43" t="s">
        <v>711</v>
      </c>
      <c r="T15" s="150">
        <v>18000</v>
      </c>
      <c r="U15" s="46" t="s">
        <v>18</v>
      </c>
      <c r="V15" s="150">
        <v>9000</v>
      </c>
      <c r="W15" s="688">
        <f t="shared" si="1"/>
        <v>0</v>
      </c>
      <c r="X15" s="150">
        <f t="shared" si="0"/>
        <v>9000</v>
      </c>
    </row>
    <row r="16" spans="2:75" s="43" customFormat="1" ht="20.25" x14ac:dyDescent="0.2">
      <c r="B16" s="42"/>
      <c r="C16" s="42"/>
      <c r="D16" s="46" t="s">
        <v>105</v>
      </c>
      <c r="E16" s="46"/>
      <c r="F16" s="46"/>
      <c r="G16" s="42"/>
      <c r="H16" s="150">
        <v>0</v>
      </c>
      <c r="I16" s="150">
        <v>3517</v>
      </c>
      <c r="J16" s="150"/>
      <c r="K16" s="150">
        <f>'August''25 State of Activities'!H20</f>
        <v>10108.5</v>
      </c>
      <c r="L16" s="150">
        <v>20092</v>
      </c>
      <c r="M16" s="150"/>
      <c r="N16" s="150">
        <v>11786.48</v>
      </c>
      <c r="P16" s="334">
        <f t="shared" si="2"/>
        <v>-1677.9799999999996</v>
      </c>
      <c r="Q16" s="675">
        <f t="shared" si="3"/>
        <v>-0.14236481120741729</v>
      </c>
      <c r="T16" s="150">
        <v>20000</v>
      </c>
      <c r="U16" s="46" t="str">
        <f t="shared" ref="U16:U26" si="4">D16</f>
        <v>Donations - Transportation</v>
      </c>
      <c r="V16" s="150">
        <v>9404.7000000000007</v>
      </c>
      <c r="W16" s="688">
        <f t="shared" si="1"/>
        <v>703.79999999999927</v>
      </c>
      <c r="X16" s="150">
        <f t="shared" si="0"/>
        <v>10108.5</v>
      </c>
    </row>
    <row r="17" spans="2:28" s="43" customFormat="1" ht="20.25" x14ac:dyDescent="0.2">
      <c r="B17" s="42"/>
      <c r="C17" s="42"/>
      <c r="D17" s="46" t="s">
        <v>712</v>
      </c>
      <c r="E17" s="46"/>
      <c r="F17" s="46"/>
      <c r="G17" s="42"/>
      <c r="H17" s="150"/>
      <c r="I17" s="150"/>
      <c r="J17" s="150"/>
      <c r="K17" s="150">
        <f>'August''25 State of Activities'!H22</f>
        <v>9941.6</v>
      </c>
      <c r="L17" s="150">
        <v>8377</v>
      </c>
      <c r="M17" s="150"/>
      <c r="N17" s="150">
        <v>7377.37</v>
      </c>
      <c r="P17" s="334">
        <f t="shared" si="2"/>
        <v>2564.2300000000005</v>
      </c>
      <c r="Q17" s="675">
        <f t="shared" si="3"/>
        <v>0.34758050633220244</v>
      </c>
      <c r="R17" s="43" t="s">
        <v>713</v>
      </c>
      <c r="T17" s="150">
        <v>8500</v>
      </c>
      <c r="U17" s="46" t="str">
        <f t="shared" si="4"/>
        <v>Fundraising Event</v>
      </c>
      <c r="V17" s="150"/>
      <c r="W17" s="688">
        <f t="shared" si="1"/>
        <v>9941.6</v>
      </c>
      <c r="X17" s="150">
        <f t="shared" si="0"/>
        <v>9941.6</v>
      </c>
      <c r="AA17" s="43" t="s">
        <v>714</v>
      </c>
    </row>
    <row r="18" spans="2:28" s="43" customFormat="1" ht="20.25" x14ac:dyDescent="0.2">
      <c r="B18" s="42"/>
      <c r="C18" s="42"/>
      <c r="D18" s="46" t="s">
        <v>715</v>
      </c>
      <c r="E18" s="46"/>
      <c r="F18" s="46"/>
      <c r="G18" s="42"/>
      <c r="H18" s="150">
        <v>31459</v>
      </c>
      <c r="I18" s="150">
        <v>13920.35</v>
      </c>
      <c r="J18" s="150"/>
      <c r="K18" s="150">
        <f>'August''25 Revenues &amp; Expenses'!I34</f>
        <v>16490.669999999998</v>
      </c>
      <c r="L18" s="150">
        <v>25000</v>
      </c>
      <c r="M18" s="150"/>
      <c r="N18" s="150">
        <v>16777.09</v>
      </c>
      <c r="P18" s="334">
        <f t="shared" si="2"/>
        <v>-286.42000000000189</v>
      </c>
      <c r="Q18" s="675">
        <f t="shared" si="3"/>
        <v>-1.7072090571130148E-2</v>
      </c>
      <c r="T18" s="150">
        <v>25000</v>
      </c>
      <c r="U18" s="46" t="str">
        <f t="shared" si="4"/>
        <v>Foundation Revenue-FCH-Sharon/Ancram/Copake</v>
      </c>
      <c r="V18" s="150">
        <v>12497</v>
      </c>
      <c r="W18" s="688">
        <f t="shared" si="1"/>
        <v>3993.6699999999983</v>
      </c>
      <c r="X18" s="150">
        <f t="shared" si="0"/>
        <v>16490.669999999998</v>
      </c>
    </row>
    <row r="19" spans="2:28" s="43" customFormat="1" ht="20.25" x14ac:dyDescent="0.2">
      <c r="B19" s="42"/>
      <c r="C19" s="42"/>
      <c r="D19" s="46" t="s">
        <v>716</v>
      </c>
      <c r="E19" s="46"/>
      <c r="F19" s="46"/>
      <c r="G19" s="42"/>
      <c r="H19" s="150"/>
      <c r="I19" s="150"/>
      <c r="J19" s="150"/>
      <c r="K19" s="150">
        <v>25969.97</v>
      </c>
      <c r="L19" s="150">
        <v>47861</v>
      </c>
      <c r="M19" s="150"/>
      <c r="N19" s="150">
        <v>26577.18</v>
      </c>
      <c r="P19" s="334">
        <f t="shared" si="2"/>
        <v>-607.20999999999913</v>
      </c>
      <c r="Q19" s="675">
        <f t="shared" si="3"/>
        <v>-2.2847043967794894E-2</v>
      </c>
      <c r="T19" s="150">
        <f>55000*(K19/65000)</f>
        <v>21974.59</v>
      </c>
      <c r="U19" s="46" t="str">
        <f t="shared" si="4"/>
        <v>Foundation Revenue-Dyson Foundation</v>
      </c>
      <c r="V19" s="150">
        <v>32500.02</v>
      </c>
      <c r="W19" s="688">
        <f t="shared" si="1"/>
        <v>-6530.0499999999993</v>
      </c>
      <c r="X19" s="150">
        <f t="shared" si="0"/>
        <v>25969.97</v>
      </c>
    </row>
    <row r="20" spans="2:28" s="43" customFormat="1" ht="20.25" x14ac:dyDescent="0.2">
      <c r="B20" s="42"/>
      <c r="C20" s="42"/>
      <c r="D20" s="46" t="s">
        <v>717</v>
      </c>
      <c r="E20" s="46"/>
      <c r="F20" s="46"/>
      <c r="G20" s="42"/>
      <c r="H20" s="150"/>
      <c r="I20" s="150"/>
      <c r="J20" s="150"/>
      <c r="K20" s="150">
        <f>'August''25 Revenues &amp; Expenses'!K62</f>
        <v>12500</v>
      </c>
      <c r="L20" s="150">
        <v>50000</v>
      </c>
      <c r="M20" s="150"/>
      <c r="N20" s="150">
        <v>33333.360000000001</v>
      </c>
      <c r="P20" s="334">
        <f t="shared" si="2"/>
        <v>-20833.36</v>
      </c>
      <c r="Q20" s="675">
        <f t="shared" si="3"/>
        <v>-0.62500029999976003</v>
      </c>
      <c r="R20" s="43" t="s">
        <v>718</v>
      </c>
      <c r="T20" s="698"/>
      <c r="U20" s="46" t="str">
        <f t="shared" si="4"/>
        <v>Foundation Revenue-The Home for the Aged</v>
      </c>
      <c r="V20" s="150">
        <v>25000</v>
      </c>
      <c r="W20" s="688">
        <f t="shared" si="1"/>
        <v>-12500</v>
      </c>
      <c r="X20" s="150">
        <f t="shared" si="0"/>
        <v>12500</v>
      </c>
    </row>
    <row r="21" spans="2:28" s="43" customFormat="1" ht="20.25" x14ac:dyDescent="0.2">
      <c r="B21" s="42"/>
      <c r="C21" s="42"/>
      <c r="D21" s="46" t="s">
        <v>719</v>
      </c>
      <c r="E21" s="46"/>
      <c r="F21" s="46"/>
      <c r="G21" s="42"/>
      <c r="H21" s="150"/>
      <c r="I21" s="150"/>
      <c r="J21" s="150"/>
      <c r="K21" s="150">
        <f>'August''25 Revenues &amp; Expenses'!I43</f>
        <v>90017.39</v>
      </c>
      <c r="L21" s="150">
        <v>125000</v>
      </c>
      <c r="M21" s="150"/>
      <c r="N21" s="150">
        <v>83791.81</v>
      </c>
      <c r="P21" s="334">
        <f t="shared" si="2"/>
        <v>6225.5800000000017</v>
      </c>
      <c r="Q21" s="675">
        <f t="shared" si="3"/>
        <v>7.4298192150282966E-2</v>
      </c>
      <c r="T21" s="150">
        <v>125000</v>
      </c>
      <c r="U21" s="46" t="str">
        <f t="shared" si="4"/>
        <v xml:space="preserve">Foundation Revenue-Mother Cabrini </v>
      </c>
      <c r="V21" s="150">
        <v>62344</v>
      </c>
      <c r="W21" s="688">
        <f t="shared" si="1"/>
        <v>27673.39</v>
      </c>
      <c r="X21" s="150">
        <f t="shared" si="0"/>
        <v>90017.39</v>
      </c>
    </row>
    <row r="22" spans="2:28" s="43" customFormat="1" ht="20.25" x14ac:dyDescent="0.2">
      <c r="B22" s="42"/>
      <c r="C22" s="42"/>
      <c r="D22" s="46" t="s">
        <v>720</v>
      </c>
      <c r="E22" s="46"/>
      <c r="F22" s="46"/>
      <c r="G22" s="42"/>
      <c r="H22" s="150"/>
      <c r="I22" s="150"/>
      <c r="J22" s="150"/>
      <c r="K22" s="150">
        <f>'August''25 Revenues &amp; Expenses'!I44+'August''25 Revenues &amp; Expenses'!I45</f>
        <v>33333.313333333339</v>
      </c>
      <c r="L22" s="150">
        <v>6250</v>
      </c>
      <c r="M22" s="150"/>
      <c r="N22" s="150"/>
      <c r="P22" s="334">
        <f t="shared" si="2"/>
        <v>33333.313333333339</v>
      </c>
      <c r="Q22" s="675" t="s">
        <v>721</v>
      </c>
      <c r="R22" s="43" t="s">
        <v>722</v>
      </c>
      <c r="T22" s="150">
        <f>'August''25 Revenues &amp; Expenses'!J44+('August''25 Revenues &amp; Expenses'!J45*3/12)</f>
        <v>1041.6866666666665</v>
      </c>
      <c r="U22" s="46" t="str">
        <f t="shared" si="4"/>
        <v>Foundation Revenue-Hudson River Bank &amp; Trust</v>
      </c>
      <c r="V22" s="150"/>
      <c r="W22" s="688">
        <f t="shared" si="1"/>
        <v>33333.313333333339</v>
      </c>
      <c r="X22" s="150">
        <f t="shared" si="0"/>
        <v>33333.313333333339</v>
      </c>
    </row>
    <row r="23" spans="2:28" s="43" customFormat="1" ht="20.25" x14ac:dyDescent="0.2">
      <c r="B23" s="42"/>
      <c r="C23" s="42"/>
      <c r="D23" s="46" t="s">
        <v>397</v>
      </c>
      <c r="E23" s="46"/>
      <c r="F23" s="46"/>
      <c r="G23" s="42"/>
      <c r="H23" s="150"/>
      <c r="I23" s="150"/>
      <c r="J23" s="150"/>
      <c r="K23" s="150">
        <v>0</v>
      </c>
      <c r="L23" s="150">
        <v>120</v>
      </c>
      <c r="M23" s="150"/>
      <c r="N23" s="150">
        <v>90</v>
      </c>
      <c r="P23" s="334">
        <f t="shared" si="2"/>
        <v>-90</v>
      </c>
      <c r="Q23" s="675">
        <f>(K23-N23)/N23</f>
        <v>-1</v>
      </c>
      <c r="T23" s="150">
        <v>100</v>
      </c>
      <c r="U23" s="46" t="str">
        <f t="shared" si="4"/>
        <v>Columbia Memorial Hospital</v>
      </c>
      <c r="V23" s="150">
        <v>30</v>
      </c>
      <c r="W23" s="688"/>
      <c r="X23" s="150">
        <v>120</v>
      </c>
    </row>
    <row r="24" spans="2:28" s="43" customFormat="1" ht="20.25" customHeight="1" x14ac:dyDescent="0.2">
      <c r="B24" s="42"/>
      <c r="C24" s="42"/>
      <c r="D24" s="814" t="s">
        <v>723</v>
      </c>
      <c r="E24" s="814"/>
      <c r="F24" s="814"/>
      <c r="G24" s="814"/>
      <c r="H24" s="150"/>
      <c r="I24" s="150"/>
      <c r="J24" s="150"/>
      <c r="K24" s="150">
        <v>0</v>
      </c>
      <c r="L24" s="150"/>
      <c r="M24" s="150"/>
      <c r="N24" s="150">
        <v>940</v>
      </c>
      <c r="P24" s="334">
        <f t="shared" si="2"/>
        <v>-940</v>
      </c>
      <c r="Q24" s="675">
        <f>(K24-N24)/N24</f>
        <v>-1</v>
      </c>
      <c r="T24" s="150"/>
      <c r="U24" s="46" t="str">
        <f t="shared" si="4"/>
        <v>Greene County - Dept Human Services</v>
      </c>
      <c r="V24" s="150">
        <v>0</v>
      </c>
      <c r="W24" s="688">
        <f>K24-V24</f>
        <v>0</v>
      </c>
      <c r="X24" s="150">
        <f t="shared" si="0"/>
        <v>0</v>
      </c>
    </row>
    <row r="25" spans="2:28" s="43" customFormat="1" ht="20.25" x14ac:dyDescent="0.2">
      <c r="B25" s="42"/>
      <c r="C25" s="42"/>
      <c r="D25" s="46" t="s">
        <v>724</v>
      </c>
      <c r="E25" s="46"/>
      <c r="F25" s="46"/>
      <c r="G25" s="42"/>
      <c r="H25" s="150">
        <v>1125</v>
      </c>
      <c r="I25" s="150">
        <v>6050</v>
      </c>
      <c r="J25" s="150"/>
      <c r="K25" s="150">
        <v>0</v>
      </c>
      <c r="L25" s="150">
        <v>0</v>
      </c>
      <c r="M25" s="150"/>
      <c r="N25" s="150">
        <v>0</v>
      </c>
      <c r="P25" s="334">
        <f t="shared" si="2"/>
        <v>0</v>
      </c>
      <c r="Q25" s="675"/>
      <c r="T25" s="150"/>
      <c r="U25" s="46" t="str">
        <f t="shared" si="4"/>
        <v>Gain (Loss) on Sale of Vehicle</v>
      </c>
      <c r="W25" s="688"/>
      <c r="X25" s="150">
        <f t="shared" si="0"/>
        <v>0</v>
      </c>
    </row>
    <row r="26" spans="2:28" s="43" customFormat="1" ht="20.25" x14ac:dyDescent="0.2">
      <c r="B26" s="42"/>
      <c r="C26" s="42"/>
      <c r="D26" s="46" t="s">
        <v>108</v>
      </c>
      <c r="E26" s="46"/>
      <c r="F26" s="46"/>
      <c r="G26" s="42"/>
      <c r="H26" s="157">
        <v>31250</v>
      </c>
      <c r="I26" s="157">
        <v>15624.98</v>
      </c>
      <c r="J26" s="150"/>
      <c r="K26" s="157">
        <f>'August''25 State of Activities'!H23*0.2</f>
        <v>7032</v>
      </c>
      <c r="L26" s="157">
        <f>'[4]December''21 State of Activities'!H26*0.2</f>
        <v>10548</v>
      </c>
      <c r="M26" s="150"/>
      <c r="N26" s="157">
        <f>'August''25 State of Activities'!K23*0.2</f>
        <v>7032</v>
      </c>
      <c r="P26" s="157">
        <f t="shared" si="2"/>
        <v>0</v>
      </c>
      <c r="Q26" s="789">
        <f>(K26-N26)/N26</f>
        <v>0</v>
      </c>
      <c r="T26" s="157">
        <f>L26</f>
        <v>10548</v>
      </c>
      <c r="U26" s="46" t="str">
        <f t="shared" si="4"/>
        <v>In-Kind Rent - Columbia County (20%)</v>
      </c>
      <c r="V26" s="157">
        <v>5274</v>
      </c>
      <c r="W26" s="689">
        <f>K26-V26</f>
        <v>1758</v>
      </c>
      <c r="X26" s="157">
        <f t="shared" si="0"/>
        <v>7032</v>
      </c>
    </row>
    <row r="27" spans="2:28" s="43" customFormat="1" ht="20.25" x14ac:dyDescent="0.2">
      <c r="B27" s="42"/>
      <c r="C27" s="42"/>
      <c r="D27" s="46"/>
      <c r="E27" s="42" t="s">
        <v>33</v>
      </c>
      <c r="F27" s="46"/>
      <c r="G27" s="42"/>
      <c r="H27" s="150">
        <v>1161224.25</v>
      </c>
      <c r="I27" s="150">
        <v>516293.30999999994</v>
      </c>
      <c r="J27" s="150"/>
      <c r="K27" s="150">
        <f>SUM(K9:K26)</f>
        <v>453820.3833333333</v>
      </c>
      <c r="L27" s="150">
        <f>SUM(L9:L26)</f>
        <v>561151</v>
      </c>
      <c r="M27" s="150"/>
      <c r="N27" s="150">
        <f>SUM(N9:N26)</f>
        <v>358420.74</v>
      </c>
      <c r="P27" s="334">
        <f t="shared" si="2"/>
        <v>95399.643333333312</v>
      </c>
      <c r="Q27" s="675">
        <f>(K27-N27)/N27</f>
        <v>0.26616663793879036</v>
      </c>
      <c r="R27" s="161"/>
      <c r="T27" s="150">
        <f>SUM(T9:T26)</f>
        <v>454687.22166666668</v>
      </c>
      <c r="U27" s="684" t="s">
        <v>33</v>
      </c>
      <c r="V27" s="150">
        <f>SUM(V9:V26)</f>
        <v>266521.18</v>
      </c>
      <c r="W27" s="688">
        <f>SUM(W9:W26)</f>
        <v>127500.95333333335</v>
      </c>
      <c r="X27" s="150">
        <f>SUM(X9:X26)</f>
        <v>394112.13333333342</v>
      </c>
      <c r="AA27" s="43">
        <v>257626</v>
      </c>
      <c r="AB27" s="161">
        <f>V27-AA27</f>
        <v>8895.179999999993</v>
      </c>
    </row>
    <row r="28" spans="2:28" s="43" customFormat="1" ht="20.25" x14ac:dyDescent="0.2">
      <c r="B28" s="42"/>
      <c r="C28" s="42"/>
      <c r="D28" s="46" t="s">
        <v>109</v>
      </c>
      <c r="E28" s="46"/>
      <c r="F28" s="46"/>
      <c r="G28" s="42"/>
      <c r="H28" s="157">
        <v>150176</v>
      </c>
      <c r="I28" s="157">
        <v>47700.27</v>
      </c>
      <c r="J28" s="150"/>
      <c r="K28" s="150">
        <f>'August''25 Revenues &amp; Expenses'!K54</f>
        <v>11666.64</v>
      </c>
      <c r="L28" s="150">
        <v>21000</v>
      </c>
      <c r="M28" s="150"/>
      <c r="N28" s="150">
        <f>21000/12*8</f>
        <v>14000</v>
      </c>
      <c r="P28" s="334">
        <f t="shared" si="2"/>
        <v>-2333.3600000000006</v>
      </c>
      <c r="Q28" s="675">
        <f>(K28-N28)/N28</f>
        <v>-0.16666857142857147</v>
      </c>
      <c r="R28" s="43" t="s">
        <v>725</v>
      </c>
      <c r="T28" s="150">
        <f>K28</f>
        <v>11666.64</v>
      </c>
      <c r="U28" s="42" t="str">
        <f>D28</f>
        <v>Assets Released from Restrictions-CC Depts.</v>
      </c>
      <c r="V28" s="150">
        <v>10500</v>
      </c>
      <c r="W28" s="688">
        <f>K28-V28</f>
        <v>1166.6399999999994</v>
      </c>
      <c r="X28" s="150">
        <f t="shared" si="0"/>
        <v>11666.64</v>
      </c>
    </row>
    <row r="29" spans="2:28" s="43" customFormat="1" ht="20.25" x14ac:dyDescent="0.2">
      <c r="B29" s="42"/>
      <c r="C29" s="42"/>
      <c r="D29" s="46" t="s">
        <v>110</v>
      </c>
      <c r="E29" s="46"/>
      <c r="F29" s="46"/>
      <c r="G29" s="42"/>
      <c r="H29" s="150"/>
      <c r="I29" s="150"/>
      <c r="J29" s="150"/>
      <c r="K29" s="157">
        <v>19814.150000000001</v>
      </c>
      <c r="L29" s="157">
        <v>33956</v>
      </c>
      <c r="M29" s="150"/>
      <c r="N29" s="157">
        <v>16632.13</v>
      </c>
      <c r="P29" s="739">
        <f t="shared" si="2"/>
        <v>3182.0200000000004</v>
      </c>
      <c r="Q29" s="677">
        <f>(K29-N29)/N29</f>
        <v>0.1913176484310789</v>
      </c>
      <c r="R29" s="43" t="s">
        <v>726</v>
      </c>
      <c r="T29" s="157">
        <v>22000</v>
      </c>
      <c r="U29" s="42" t="str">
        <f>D29</f>
        <v>Assets Released from Restrictions-Columbia Cty</v>
      </c>
      <c r="V29" s="157">
        <v>15396.6</v>
      </c>
      <c r="W29" s="689">
        <f>K29-V29</f>
        <v>4417.5500000000011</v>
      </c>
      <c r="X29" s="157">
        <f t="shared" si="0"/>
        <v>19814.150000000001</v>
      </c>
    </row>
    <row r="30" spans="2:28" s="43" customFormat="1" ht="20.25" x14ac:dyDescent="0.2">
      <c r="B30" s="42"/>
      <c r="C30" s="42"/>
      <c r="D30" s="46"/>
      <c r="E30" s="42" t="s">
        <v>111</v>
      </c>
      <c r="F30" s="46"/>
      <c r="G30" s="42"/>
      <c r="H30" s="150">
        <v>1311400.25</v>
      </c>
      <c r="I30" s="150">
        <v>563993.57999999996</v>
      </c>
      <c r="J30" s="150"/>
      <c r="K30" s="150">
        <f>SUM(K27:K29)</f>
        <v>485301.17333333334</v>
      </c>
      <c r="L30" s="150">
        <f>SUM(L27:L29)</f>
        <v>616107</v>
      </c>
      <c r="M30" s="150"/>
      <c r="N30" s="150">
        <f>SUM(N27:N29)</f>
        <v>389052.87</v>
      </c>
      <c r="P30" s="334">
        <f t="shared" si="2"/>
        <v>96248.303333333344</v>
      </c>
      <c r="Q30" s="675">
        <f>(K30-N30)/N30</f>
        <v>0.24739132070490405</v>
      </c>
      <c r="T30" s="150">
        <f>SUM(T27:T29)</f>
        <v>488353.86166666669</v>
      </c>
      <c r="U30" s="46"/>
      <c r="V30" s="150">
        <f>SUM(V27:V29)</f>
        <v>292417.77999999997</v>
      </c>
      <c r="W30" s="688">
        <f>SUM(W27:W29)</f>
        <v>133085.14333333334</v>
      </c>
      <c r="X30" s="150">
        <f>SUM(X27:X29)</f>
        <v>425592.92333333346</v>
      </c>
      <c r="AA30" s="43">
        <v>283522</v>
      </c>
      <c r="AB30" s="161">
        <f>V30-AA30</f>
        <v>8895.7799999999697</v>
      </c>
    </row>
    <row r="31" spans="2:28" s="43" customFormat="1" ht="20.25" x14ac:dyDescent="0.2">
      <c r="B31" s="42"/>
      <c r="C31" s="42"/>
      <c r="D31" s="46"/>
      <c r="E31" s="42"/>
      <c r="F31" s="46"/>
      <c r="G31" s="42"/>
      <c r="H31" s="150"/>
      <c r="I31" s="150"/>
      <c r="J31" s="150"/>
      <c r="K31" s="150"/>
      <c r="L31" s="400"/>
      <c r="M31" s="150"/>
      <c r="N31" s="150"/>
      <c r="Q31" s="38"/>
      <c r="T31" s="150"/>
      <c r="U31" s="46"/>
      <c r="V31" s="150"/>
      <c r="W31" s="688"/>
      <c r="X31" s="150">
        <f t="shared" si="0"/>
        <v>0</v>
      </c>
    </row>
    <row r="32" spans="2:28" s="43" customFormat="1" ht="20.25" x14ac:dyDescent="0.2">
      <c r="B32" s="42"/>
      <c r="C32" s="42" t="s">
        <v>34</v>
      </c>
      <c r="D32" s="42"/>
      <c r="E32" s="42"/>
      <c r="F32" s="42"/>
      <c r="G32" s="42"/>
      <c r="H32" s="157"/>
      <c r="K32" s="150"/>
      <c r="Q32" s="38"/>
      <c r="T32" s="150"/>
      <c r="U32" s="54" t="s">
        <v>34</v>
      </c>
      <c r="W32" s="690"/>
    </row>
    <row r="33" spans="2:27" s="43" customFormat="1" ht="20.25" x14ac:dyDescent="0.2">
      <c r="B33" s="42"/>
      <c r="C33" s="42"/>
      <c r="D33" s="46" t="s">
        <v>114</v>
      </c>
      <c r="E33" s="46"/>
      <c r="F33" s="46"/>
      <c r="G33" s="46"/>
      <c r="H33" s="150">
        <v>733747.79999999993</v>
      </c>
      <c r="I33" s="181">
        <v>361976</v>
      </c>
      <c r="J33" s="181"/>
      <c r="K33" s="150"/>
      <c r="L33" s="181"/>
      <c r="M33" s="181"/>
      <c r="N33" s="181"/>
      <c r="Q33" s="38"/>
      <c r="T33" s="150"/>
      <c r="U33" s="46" t="str">
        <f>D33</f>
        <v>Salaries and Payroll Taxes &amp; Fringe</v>
      </c>
      <c r="V33" s="150"/>
      <c r="W33" s="688">
        <f>K32-V33</f>
        <v>0</v>
      </c>
      <c r="X33" s="150">
        <f t="shared" si="0"/>
        <v>0</v>
      </c>
    </row>
    <row r="34" spans="2:27" s="43" customFormat="1" ht="20.25" x14ac:dyDescent="0.2">
      <c r="B34" s="42"/>
      <c r="C34" s="42"/>
      <c r="D34" s="46"/>
      <c r="E34" s="814" t="s">
        <v>115</v>
      </c>
      <c r="F34" s="814"/>
      <c r="G34" s="814"/>
      <c r="H34" s="150"/>
      <c r="I34" s="181"/>
      <c r="J34" s="181"/>
      <c r="K34" s="150">
        <v>164549.93</v>
      </c>
      <c r="L34" s="150">
        <v>237849</v>
      </c>
      <c r="M34" s="181"/>
      <c r="N34" s="150">
        <v>156142</v>
      </c>
      <c r="P34" s="334">
        <f>K34-N34</f>
        <v>8407.929999999993</v>
      </c>
      <c r="Q34" s="675">
        <f>(K34-N34)/N34</f>
        <v>5.3847971718051474E-2</v>
      </c>
      <c r="T34" s="150">
        <f>240651</f>
        <v>240651</v>
      </c>
      <c r="U34" s="683" t="s">
        <v>115</v>
      </c>
      <c r="V34" s="685">
        <v>116142.27</v>
      </c>
      <c r="W34" s="691">
        <f>K34-V34</f>
        <v>48407.659999999989</v>
      </c>
      <c r="X34" s="150">
        <f t="shared" si="0"/>
        <v>164549.93</v>
      </c>
      <c r="AA34" s="161">
        <f t="shared" ref="AA34:AA45" si="5">X34-K34</f>
        <v>0</v>
      </c>
    </row>
    <row r="35" spans="2:27" s="43" customFormat="1" ht="20.25" x14ac:dyDescent="0.2">
      <c r="B35" s="42"/>
      <c r="C35" s="42"/>
      <c r="D35" s="46"/>
      <c r="E35" s="814" t="s">
        <v>117</v>
      </c>
      <c r="F35" s="814"/>
      <c r="G35" s="814"/>
      <c r="H35" s="150"/>
      <c r="I35" s="181"/>
      <c r="J35" s="181"/>
      <c r="K35" s="150">
        <f>38399.67+39104.71</f>
        <v>77504.38</v>
      </c>
      <c r="L35" s="150">
        <f>55000+52848.91</f>
        <v>107848.91</v>
      </c>
      <c r="M35" s="181"/>
      <c r="N35" s="150">
        <f>33386.75+36725</f>
        <v>70111.75</v>
      </c>
      <c r="P35" s="334">
        <f>K35-N35</f>
        <v>7392.6300000000047</v>
      </c>
      <c r="Q35" s="675">
        <f>(K35-N35)/N35</f>
        <v>0.10544067149942776</v>
      </c>
      <c r="T35" s="150">
        <v>110000</v>
      </c>
      <c r="U35" s="683" t="s">
        <v>727</v>
      </c>
      <c r="V35" s="685">
        <v>52449.880000000005</v>
      </c>
      <c r="W35" s="691">
        <f>K35-V35</f>
        <v>25054.5</v>
      </c>
      <c r="X35" s="150">
        <f t="shared" si="0"/>
        <v>77504.38</v>
      </c>
      <c r="AA35" s="161">
        <f t="shared" si="5"/>
        <v>0</v>
      </c>
    </row>
    <row r="36" spans="2:27" s="43" customFormat="1" ht="20.25" x14ac:dyDescent="0.2">
      <c r="B36" s="42"/>
      <c r="C36" s="42"/>
      <c r="D36" s="46"/>
      <c r="E36" s="814" t="s">
        <v>36</v>
      </c>
      <c r="F36" s="814"/>
      <c r="G36" s="814"/>
      <c r="H36" s="150"/>
      <c r="I36" s="181"/>
      <c r="J36" s="181"/>
      <c r="K36" s="150">
        <v>49442.27</v>
      </c>
      <c r="L36" s="150">
        <v>64124.89</v>
      </c>
      <c r="M36" s="181"/>
      <c r="N36" s="150">
        <v>43583.88</v>
      </c>
      <c r="P36" s="334">
        <f>K36-N36</f>
        <v>5858.3899999999994</v>
      </c>
      <c r="Q36" s="675">
        <f>(K36-N36)/N36</f>
        <v>0.13441644020679205</v>
      </c>
      <c r="S36" s="699"/>
      <c r="T36" s="150">
        <f>0.19*SUM(T34:T35)</f>
        <v>66623.69</v>
      </c>
      <c r="U36" s="683" t="s">
        <v>36</v>
      </c>
      <c r="V36" s="685">
        <v>32739</v>
      </c>
      <c r="W36" s="691">
        <f>K36-V36</f>
        <v>16703.269999999997</v>
      </c>
      <c r="X36" s="150">
        <f t="shared" si="0"/>
        <v>49442.27</v>
      </c>
      <c r="AA36" s="161">
        <f t="shared" si="5"/>
        <v>0</v>
      </c>
    </row>
    <row r="37" spans="2:27" s="43" customFormat="1" ht="20.25" x14ac:dyDescent="0.2">
      <c r="B37" s="42"/>
      <c r="C37" s="42"/>
      <c r="D37" s="46" t="s">
        <v>118</v>
      </c>
      <c r="E37" s="46"/>
      <c r="F37" s="46"/>
      <c r="G37" s="46"/>
      <c r="H37" s="150">
        <v>44745.18</v>
      </c>
      <c r="I37" s="150">
        <v>20974.21</v>
      </c>
      <c r="J37" s="150"/>
      <c r="K37" s="493"/>
      <c r="L37" s="493"/>
      <c r="M37" s="493"/>
      <c r="N37" s="493"/>
      <c r="P37" s="334"/>
      <c r="Q37" s="675"/>
      <c r="T37" s="493"/>
      <c r="U37" s="46" t="str">
        <f>D37</f>
        <v xml:space="preserve">Transportation Services </v>
      </c>
      <c r="V37" s="150"/>
      <c r="W37" s="688"/>
      <c r="X37" s="150"/>
      <c r="AA37" s="161">
        <f t="shared" si="5"/>
        <v>0</v>
      </c>
    </row>
    <row r="38" spans="2:27" s="43" customFormat="1" ht="20.25" x14ac:dyDescent="0.2">
      <c r="B38" s="42"/>
      <c r="C38" s="42"/>
      <c r="D38" s="46"/>
      <c r="E38" s="814" t="s">
        <v>119</v>
      </c>
      <c r="F38" s="814"/>
      <c r="G38" s="814"/>
      <c r="H38" s="150"/>
      <c r="I38" s="150"/>
      <c r="J38" s="150"/>
      <c r="K38" s="150">
        <v>17341.95</v>
      </c>
      <c r="L38" s="150">
        <v>30153.51</v>
      </c>
      <c r="M38" s="150"/>
      <c r="N38" s="150">
        <v>20470</v>
      </c>
      <c r="P38" s="334">
        <f t="shared" ref="P38:P56" si="6">K38-N38</f>
        <v>-3128.0499999999993</v>
      </c>
      <c r="Q38" s="675">
        <f t="shared" ref="Q38:Q56" si="7">(K38-N38)/N38</f>
        <v>-0.15281143136297015</v>
      </c>
      <c r="T38" s="150">
        <f>AVERAGE(K38:L38)</f>
        <v>23747.73</v>
      </c>
      <c r="U38" s="683" t="s">
        <v>728</v>
      </c>
      <c r="V38" s="150">
        <v>14702.69</v>
      </c>
      <c r="W38" s="688">
        <f t="shared" ref="W38:W45" si="8">K38-V38</f>
        <v>2639.26</v>
      </c>
      <c r="X38" s="150">
        <f t="shared" ref="X38:X53" si="9">W38+V38</f>
        <v>17341.95</v>
      </c>
      <c r="AA38" s="161">
        <f t="shared" si="5"/>
        <v>0</v>
      </c>
    </row>
    <row r="39" spans="2:27" s="43" customFormat="1" ht="20.25" x14ac:dyDescent="0.2">
      <c r="B39" s="42"/>
      <c r="C39" s="42"/>
      <c r="D39" s="46"/>
      <c r="E39" s="814" t="s">
        <v>120</v>
      </c>
      <c r="F39" s="814"/>
      <c r="G39" s="814"/>
      <c r="H39" s="150"/>
      <c r="I39" s="150"/>
      <c r="J39" s="150"/>
      <c r="K39" s="150">
        <v>10274.23</v>
      </c>
      <c r="L39" s="150">
        <v>14326.95</v>
      </c>
      <c r="M39" s="150"/>
      <c r="N39" s="150">
        <v>9544.27</v>
      </c>
      <c r="P39" s="334">
        <f t="shared" si="6"/>
        <v>729.95999999999913</v>
      </c>
      <c r="Q39" s="675">
        <f t="shared" si="7"/>
        <v>7.6481490988834042E-2</v>
      </c>
      <c r="T39" s="150">
        <v>18807</v>
      </c>
      <c r="U39" s="683" t="s">
        <v>120</v>
      </c>
      <c r="V39" s="150">
        <v>7152.93</v>
      </c>
      <c r="W39" s="688">
        <f t="shared" si="8"/>
        <v>3121.2999999999993</v>
      </c>
      <c r="X39" s="150">
        <f t="shared" si="9"/>
        <v>10274.23</v>
      </c>
      <c r="AA39" s="161">
        <f t="shared" si="5"/>
        <v>0</v>
      </c>
    </row>
    <row r="40" spans="2:27" s="43" customFormat="1" ht="20.25" x14ac:dyDescent="0.2">
      <c r="B40" s="42"/>
      <c r="C40" s="42"/>
      <c r="D40" s="46"/>
      <c r="E40" s="814" t="s">
        <v>121</v>
      </c>
      <c r="F40" s="814"/>
      <c r="G40" s="814"/>
      <c r="H40" s="150"/>
      <c r="I40" s="150"/>
      <c r="J40" s="150"/>
      <c r="K40" s="150">
        <v>25695.919999999998</v>
      </c>
      <c r="L40" s="150">
        <v>17577.849999999999</v>
      </c>
      <c r="M40" s="150"/>
      <c r="N40" s="150">
        <v>13636</v>
      </c>
      <c r="P40" s="334">
        <f t="shared" si="6"/>
        <v>12059.919999999998</v>
      </c>
      <c r="Q40" s="675">
        <f t="shared" si="7"/>
        <v>0.88441771780580802</v>
      </c>
      <c r="R40" s="43" t="s">
        <v>829</v>
      </c>
      <c r="T40" s="150">
        <f>AVERAGE(K40:L40)</f>
        <v>21636.884999999998</v>
      </c>
      <c r="U40" s="683" t="s">
        <v>121</v>
      </c>
      <c r="V40" s="150">
        <v>11459.55</v>
      </c>
      <c r="W40" s="688">
        <f t="shared" si="8"/>
        <v>14236.369999999999</v>
      </c>
      <c r="X40" s="150">
        <f t="shared" si="9"/>
        <v>25695.919999999998</v>
      </c>
      <c r="AA40" s="161">
        <f t="shared" si="5"/>
        <v>0</v>
      </c>
    </row>
    <row r="41" spans="2:27" s="43" customFormat="1" ht="20.25" x14ac:dyDescent="0.2">
      <c r="B41" s="42"/>
      <c r="C41" s="42"/>
      <c r="D41" s="46"/>
      <c r="E41" s="814" t="s">
        <v>122</v>
      </c>
      <c r="F41" s="814"/>
      <c r="G41" s="814"/>
      <c r="H41" s="150"/>
      <c r="I41" s="150"/>
      <c r="J41" s="150"/>
      <c r="K41" s="150">
        <v>307.5</v>
      </c>
      <c r="L41" s="150">
        <v>629</v>
      </c>
      <c r="M41" s="150"/>
      <c r="N41" s="150">
        <v>185.5</v>
      </c>
      <c r="P41" s="334">
        <f t="shared" si="6"/>
        <v>122</v>
      </c>
      <c r="Q41" s="675">
        <f t="shared" si="7"/>
        <v>0.65768194070080865</v>
      </c>
      <c r="T41" s="150">
        <f>AVERAGE(K41:L41)</f>
        <v>468.25</v>
      </c>
      <c r="U41" s="683" t="s">
        <v>122</v>
      </c>
      <c r="V41" s="150">
        <v>99</v>
      </c>
      <c r="W41" s="688">
        <f t="shared" si="8"/>
        <v>208.5</v>
      </c>
      <c r="X41" s="150">
        <f t="shared" si="9"/>
        <v>307.5</v>
      </c>
      <c r="AA41" s="161">
        <f t="shared" si="5"/>
        <v>0</v>
      </c>
    </row>
    <row r="42" spans="2:27" s="43" customFormat="1" ht="20.25" x14ac:dyDescent="0.2">
      <c r="B42" s="42"/>
      <c r="C42" s="42"/>
      <c r="D42" s="46" t="s">
        <v>124</v>
      </c>
      <c r="E42" s="46"/>
      <c r="F42" s="46"/>
      <c r="G42" s="46"/>
      <c r="H42" s="150"/>
      <c r="I42" s="181"/>
      <c r="J42" s="181"/>
      <c r="K42" s="334">
        <f>4350.6</f>
        <v>4350.6000000000004</v>
      </c>
      <c r="L42" s="150">
        <v>4816.6099999999997</v>
      </c>
      <c r="M42" s="181"/>
      <c r="N42" s="150">
        <v>3099.45</v>
      </c>
      <c r="P42" s="334">
        <f t="shared" si="6"/>
        <v>1251.1500000000005</v>
      </c>
      <c r="Q42" s="675">
        <f t="shared" si="7"/>
        <v>0.40366839277936428</v>
      </c>
      <c r="R42" s="43" t="s">
        <v>729</v>
      </c>
      <c r="T42" s="150">
        <f>AVERAGE(K42:L42)</f>
        <v>4583.6049999999996</v>
      </c>
      <c r="U42" s="46" t="str">
        <f>D42</f>
        <v>Transportation Scheduling Software-RoutingBox</v>
      </c>
      <c r="V42" s="150">
        <v>2322.4</v>
      </c>
      <c r="W42" s="688">
        <f t="shared" si="8"/>
        <v>2028.2000000000003</v>
      </c>
      <c r="X42" s="150">
        <f t="shared" si="9"/>
        <v>4350.6000000000004</v>
      </c>
      <c r="AA42" s="161">
        <f t="shared" si="5"/>
        <v>0</v>
      </c>
    </row>
    <row r="43" spans="2:27" s="43" customFormat="1" ht="20.25" x14ac:dyDescent="0.2">
      <c r="B43" s="42"/>
      <c r="C43" s="42"/>
      <c r="D43" s="46" t="s">
        <v>730</v>
      </c>
      <c r="E43" s="46"/>
      <c r="F43" s="46"/>
      <c r="G43" s="46"/>
      <c r="H43" s="150"/>
      <c r="I43" s="181"/>
      <c r="J43" s="181"/>
      <c r="K43" s="334">
        <f>6150.86-4351</f>
        <v>1799.8599999999997</v>
      </c>
      <c r="L43" s="150">
        <f>6903.06-4817</f>
        <v>2086.0600000000004</v>
      </c>
      <c r="M43" s="181"/>
      <c r="N43" s="150">
        <f>4555.6-3099</f>
        <v>1456.6000000000004</v>
      </c>
      <c r="P43" s="334">
        <f t="shared" si="6"/>
        <v>343.25999999999931</v>
      </c>
      <c r="Q43" s="675">
        <f t="shared" si="7"/>
        <v>0.23565838253466925</v>
      </c>
      <c r="R43" s="43" t="s">
        <v>731</v>
      </c>
      <c r="T43" s="150">
        <f>AVERAGE(K43:L43)</f>
        <v>1942.96</v>
      </c>
      <c r="U43" s="46" t="str">
        <f>D43</f>
        <v>Transportation Billing Software-MedBatch</v>
      </c>
      <c r="V43" s="334">
        <v>1051.8</v>
      </c>
      <c r="W43" s="688">
        <f t="shared" si="8"/>
        <v>748.05999999999972</v>
      </c>
      <c r="X43" s="150">
        <f t="shared" si="9"/>
        <v>1799.8599999999997</v>
      </c>
      <c r="AA43" s="161">
        <f t="shared" si="5"/>
        <v>0</v>
      </c>
    </row>
    <row r="44" spans="2:27" s="43" customFormat="1" ht="20.25" x14ac:dyDescent="0.2">
      <c r="B44" s="42"/>
      <c r="C44" s="42"/>
      <c r="D44" s="46" t="s">
        <v>123</v>
      </c>
      <c r="E44" s="46"/>
      <c r="F44" s="46"/>
      <c r="G44" s="46"/>
      <c r="H44" s="150">
        <v>27200</v>
      </c>
      <c r="I44" s="150">
        <v>11327</v>
      </c>
      <c r="J44" s="150"/>
      <c r="K44" s="150">
        <v>29404.78</v>
      </c>
      <c r="L44" s="150">
        <v>41316</v>
      </c>
      <c r="M44" s="150"/>
      <c r="N44" s="150">
        <v>27544</v>
      </c>
      <c r="P44" s="334">
        <f t="shared" si="6"/>
        <v>1860.7799999999988</v>
      </c>
      <c r="Q44" s="675">
        <f t="shared" si="7"/>
        <v>6.7556636654080696E-2</v>
      </c>
      <c r="T44" s="150">
        <v>42000</v>
      </c>
      <c r="U44" s="46" t="str">
        <f>D44</f>
        <v>Depreciation &amp; Amortization -Vehicles</v>
      </c>
      <c r="V44" s="150">
        <v>20658</v>
      </c>
      <c r="W44" s="688">
        <f t="shared" si="8"/>
        <v>8746.7799999999988</v>
      </c>
      <c r="X44" s="150">
        <f t="shared" si="9"/>
        <v>29404.78</v>
      </c>
      <c r="AA44" s="161">
        <f t="shared" si="5"/>
        <v>0</v>
      </c>
    </row>
    <row r="45" spans="2:27" s="43" customFormat="1" ht="20.25" x14ac:dyDescent="0.2">
      <c r="B45" s="42"/>
      <c r="C45" s="42"/>
      <c r="D45" s="46" t="s">
        <v>125</v>
      </c>
      <c r="E45" s="46"/>
      <c r="F45" s="46"/>
      <c r="G45" s="46"/>
      <c r="H45" s="150"/>
      <c r="I45" s="181"/>
      <c r="J45" s="181"/>
      <c r="K45" s="150">
        <v>3796.09</v>
      </c>
      <c r="L45" s="150">
        <f>400+3688.83</f>
        <v>4088.83</v>
      </c>
      <c r="M45" s="181"/>
      <c r="N45" s="150">
        <v>3749</v>
      </c>
      <c r="P45" s="334">
        <f t="shared" si="6"/>
        <v>47.090000000000146</v>
      </c>
      <c r="Q45" s="675">
        <f t="shared" si="7"/>
        <v>1.2560682848759708E-2</v>
      </c>
      <c r="T45" s="150">
        <v>4000</v>
      </c>
      <c r="U45" s="46" t="str">
        <f>D45</f>
        <v>Audit</v>
      </c>
      <c r="V45" s="334">
        <v>3749</v>
      </c>
      <c r="W45" s="688">
        <f t="shared" si="8"/>
        <v>47.090000000000146</v>
      </c>
      <c r="X45" s="150">
        <f t="shared" si="9"/>
        <v>3796.09</v>
      </c>
      <c r="AA45" s="161">
        <f t="shared" si="5"/>
        <v>0</v>
      </c>
    </row>
    <row r="46" spans="2:27" s="43" customFormat="1" ht="20.25" x14ac:dyDescent="0.2">
      <c r="B46" s="42"/>
      <c r="C46" s="42"/>
      <c r="D46" s="46" t="s">
        <v>48</v>
      </c>
      <c r="E46" s="46"/>
      <c r="F46" s="46"/>
      <c r="G46" s="46"/>
      <c r="H46" s="150">
        <v>4412.53</v>
      </c>
      <c r="I46" s="182">
        <v>5667</v>
      </c>
      <c r="J46" s="182"/>
      <c r="K46" s="150">
        <v>4203.9399999999996</v>
      </c>
      <c r="L46" s="150">
        <f>668+6689.21</f>
        <v>7357.21</v>
      </c>
      <c r="M46" s="182"/>
      <c r="N46" s="150">
        <v>5013.0600000000004</v>
      </c>
      <c r="P46" s="334">
        <f t="shared" si="6"/>
        <v>-809.1200000000008</v>
      </c>
      <c r="Q46" s="675">
        <f t="shared" si="7"/>
        <v>-0.16140241688709106</v>
      </c>
      <c r="T46" s="150"/>
      <c r="U46" s="46"/>
      <c r="V46" s="334"/>
      <c r="W46" s="688"/>
      <c r="X46" s="150"/>
      <c r="AA46" s="161"/>
    </row>
    <row r="47" spans="2:27" s="43" customFormat="1" ht="20.25" x14ac:dyDescent="0.2">
      <c r="B47" s="42"/>
      <c r="C47" s="42"/>
      <c r="D47" s="46" t="s">
        <v>127</v>
      </c>
      <c r="E47" s="46"/>
      <c r="F47" s="46"/>
      <c r="G47" s="46"/>
      <c r="H47" s="150">
        <v>10250.949999999999</v>
      </c>
      <c r="I47" s="181">
        <v>3982.99</v>
      </c>
      <c r="J47" s="181"/>
      <c r="K47" s="150">
        <v>487.93</v>
      </c>
      <c r="L47" s="150">
        <f>410+247.23+70+142</f>
        <v>869.23</v>
      </c>
      <c r="M47" s="181"/>
      <c r="N47" s="150">
        <f>88.52+290.58</f>
        <v>379.09999999999997</v>
      </c>
      <c r="P47" s="334">
        <f t="shared" si="6"/>
        <v>108.83000000000004</v>
      </c>
      <c r="Q47" s="675">
        <f t="shared" si="7"/>
        <v>0.28707465048799802</v>
      </c>
      <c r="T47" s="150">
        <f>AVERAGE(K47:L47)</f>
        <v>678.58</v>
      </c>
      <c r="U47" s="46" t="str">
        <f>D47</f>
        <v>Office &amp; Program Supplies</v>
      </c>
      <c r="V47" s="150">
        <v>355.65999999999997</v>
      </c>
      <c r="W47" s="688">
        <f>K47-V47</f>
        <v>132.27000000000004</v>
      </c>
      <c r="X47" s="150">
        <f>W47+V47</f>
        <v>487.93</v>
      </c>
      <c r="AA47" s="161">
        <f>X47-K47</f>
        <v>0</v>
      </c>
    </row>
    <row r="48" spans="2:27" s="43" customFormat="1" ht="20.25" x14ac:dyDescent="0.2">
      <c r="B48" s="42"/>
      <c r="C48" s="42"/>
      <c r="D48" s="46" t="s">
        <v>126</v>
      </c>
      <c r="E48" s="46"/>
      <c r="F48" s="46"/>
      <c r="G48" s="46"/>
      <c r="H48" s="150">
        <v>10993.12</v>
      </c>
      <c r="I48" s="181">
        <v>4904.57</v>
      </c>
      <c r="J48" s="181"/>
      <c r="K48" s="150">
        <f>2980+1278.92</f>
        <v>4258.92</v>
      </c>
      <c r="L48" s="150">
        <v>7776.91</v>
      </c>
      <c r="M48" s="181"/>
      <c r="N48" s="150">
        <v>5283.55</v>
      </c>
      <c r="P48" s="334">
        <f t="shared" si="6"/>
        <v>-1024.6300000000001</v>
      </c>
      <c r="Q48" s="675">
        <f t="shared" si="7"/>
        <v>-0.19392832470592691</v>
      </c>
      <c r="T48" s="150">
        <f>AVERAGE(K48:L48)</f>
        <v>6017.915</v>
      </c>
      <c r="U48" s="46" t="str">
        <f>D48</f>
        <v>Telephone &amp; Internet</v>
      </c>
      <c r="V48" s="150">
        <v>4021.16</v>
      </c>
      <c r="W48" s="688">
        <f>K48-V48</f>
        <v>237.76000000000022</v>
      </c>
      <c r="X48" s="150">
        <f>W48+V48</f>
        <v>4258.92</v>
      </c>
      <c r="AA48" s="161">
        <f>X48-K48</f>
        <v>0</v>
      </c>
    </row>
    <row r="49" spans="2:36" s="43" customFormat="1" ht="20.25" x14ac:dyDescent="0.2">
      <c r="B49" s="42"/>
      <c r="C49" s="42"/>
      <c r="D49" s="46" t="s">
        <v>40</v>
      </c>
      <c r="E49" s="46"/>
      <c r="F49" s="46"/>
      <c r="G49" s="46"/>
      <c r="H49" s="150">
        <v>5428.37</v>
      </c>
      <c r="I49" s="181">
        <v>2024.52</v>
      </c>
      <c r="J49" s="181"/>
      <c r="K49" s="150">
        <v>226.84</v>
      </c>
      <c r="L49" s="150">
        <f>80+225</f>
        <v>305</v>
      </c>
      <c r="M49" s="181"/>
      <c r="N49" s="150">
        <v>258.33</v>
      </c>
      <c r="P49" s="334">
        <f t="shared" si="6"/>
        <v>-31.489999999999981</v>
      </c>
      <c r="Q49" s="675">
        <f t="shared" si="7"/>
        <v>-0.12189834707544607</v>
      </c>
      <c r="T49" s="150"/>
      <c r="U49" s="46"/>
      <c r="V49" s="150"/>
      <c r="W49" s="688"/>
      <c r="X49" s="150"/>
      <c r="AA49" s="161"/>
    </row>
    <row r="50" spans="2:36" s="43" customFormat="1" ht="20.25" x14ac:dyDescent="0.2">
      <c r="B50" s="42"/>
      <c r="C50" s="42"/>
      <c r="D50" s="46" t="s">
        <v>44</v>
      </c>
      <c r="E50" s="46"/>
      <c r="F50" s="46"/>
      <c r="G50" s="46"/>
      <c r="H50" s="150">
        <v>7901</v>
      </c>
      <c r="I50" s="181">
        <v>4149.6000000000004</v>
      </c>
      <c r="J50" s="181"/>
      <c r="K50" s="150">
        <v>1380.42</v>
      </c>
      <c r="L50" s="150">
        <f>125+1270.74</f>
        <v>1395.74</v>
      </c>
      <c r="M50" s="181"/>
      <c r="N50" s="150">
        <v>666.26</v>
      </c>
      <c r="P50" s="334">
        <f t="shared" si="6"/>
        <v>714.16000000000008</v>
      </c>
      <c r="Q50" s="675">
        <f t="shared" si="7"/>
        <v>1.0718938552517037</v>
      </c>
      <c r="T50" s="150"/>
      <c r="U50" s="46"/>
      <c r="V50" s="150"/>
      <c r="W50" s="688"/>
      <c r="X50" s="150"/>
      <c r="AA50" s="161"/>
    </row>
    <row r="51" spans="2:36" s="43" customFormat="1" ht="20.25" x14ac:dyDescent="0.2">
      <c r="B51" s="42"/>
      <c r="C51" s="42"/>
      <c r="D51" s="46" t="s">
        <v>128</v>
      </c>
      <c r="E51" s="46"/>
      <c r="F51" s="46"/>
      <c r="G51" s="46"/>
      <c r="H51" s="150"/>
      <c r="I51" s="181"/>
      <c r="J51" s="181"/>
      <c r="K51" s="150">
        <v>7226.8</v>
      </c>
      <c r="L51" s="150">
        <f>290+7325.5</f>
        <v>7615.5</v>
      </c>
      <c r="M51" s="181"/>
      <c r="N51" s="150">
        <v>5170.5</v>
      </c>
      <c r="P51" s="334">
        <f t="shared" si="6"/>
        <v>2056.3000000000002</v>
      </c>
      <c r="Q51" s="675">
        <f t="shared" si="7"/>
        <v>0.39769848177158884</v>
      </c>
      <c r="R51" s="43" t="s">
        <v>732</v>
      </c>
      <c r="T51" s="150">
        <v>8400</v>
      </c>
      <c r="U51" s="46" t="str">
        <f>D51</f>
        <v>General Insurance</v>
      </c>
      <c r="V51" s="334">
        <v>3948</v>
      </c>
      <c r="W51" s="688">
        <f>K51-V51</f>
        <v>3278.8</v>
      </c>
      <c r="X51" s="150">
        <f t="shared" si="9"/>
        <v>7226.8</v>
      </c>
      <c r="AA51" s="161">
        <f>X51-K51</f>
        <v>0</v>
      </c>
    </row>
    <row r="52" spans="2:36" s="43" customFormat="1" ht="20.25" x14ac:dyDescent="0.2">
      <c r="B52" s="42"/>
      <c r="C52" s="42"/>
      <c r="D52" s="46" t="s">
        <v>70</v>
      </c>
      <c r="E52" s="46"/>
      <c r="F52" s="46"/>
      <c r="G52" s="46"/>
      <c r="H52" s="150"/>
      <c r="I52" s="181"/>
      <c r="J52" s="181"/>
      <c r="K52" s="150">
        <v>5002</v>
      </c>
      <c r="L52" s="150">
        <f>'August''25 State of Activities'!I55</f>
        <v>7493.88</v>
      </c>
      <c r="M52" s="181"/>
      <c r="N52" s="150">
        <v>4995.92</v>
      </c>
      <c r="P52" s="334">
        <f t="shared" si="6"/>
        <v>6.0799999999999272</v>
      </c>
      <c r="Q52" s="675">
        <f t="shared" si="7"/>
        <v>1.2169930663421206E-3</v>
      </c>
      <c r="T52" s="150">
        <f>AVERAGE(K52:L52)</f>
        <v>6247.9400000000005</v>
      </c>
      <c r="U52" s="46" t="str">
        <f>D52</f>
        <v>Interest</v>
      </c>
      <c r="V52" s="150">
        <v>3746.94</v>
      </c>
      <c r="W52" s="688">
        <f>K52-V52</f>
        <v>1255.06</v>
      </c>
      <c r="X52" s="150">
        <f t="shared" si="9"/>
        <v>5002</v>
      </c>
      <c r="AA52" s="161">
        <f>X52-K52</f>
        <v>0</v>
      </c>
    </row>
    <row r="53" spans="2:36" s="43" customFormat="1" ht="20.25" x14ac:dyDescent="0.2">
      <c r="B53" s="42"/>
      <c r="C53" s="42"/>
      <c r="D53" s="46" t="s">
        <v>38</v>
      </c>
      <c r="E53" s="46"/>
      <c r="F53" s="46"/>
      <c r="G53" s="46"/>
      <c r="H53" s="150">
        <v>150176</v>
      </c>
      <c r="I53" s="181">
        <v>47700.27</v>
      </c>
      <c r="J53" s="181"/>
      <c r="K53" s="150">
        <f>K26</f>
        <v>7032</v>
      </c>
      <c r="L53" s="150">
        <f>L26</f>
        <v>10548</v>
      </c>
      <c r="M53" s="181"/>
      <c r="N53" s="150">
        <f>N26</f>
        <v>7032</v>
      </c>
      <c r="P53" s="334">
        <f t="shared" si="6"/>
        <v>0</v>
      </c>
      <c r="Q53" s="675">
        <f t="shared" si="7"/>
        <v>0</v>
      </c>
      <c r="T53" s="150">
        <f>K53</f>
        <v>7032</v>
      </c>
      <c r="U53" s="46" t="str">
        <f>D53</f>
        <v>In-Kind Rent</v>
      </c>
      <c r="V53" s="150">
        <v>5274</v>
      </c>
      <c r="W53" s="688">
        <f>K53-V53</f>
        <v>1758</v>
      </c>
      <c r="X53" s="150">
        <f t="shared" si="9"/>
        <v>7032</v>
      </c>
      <c r="AA53" s="161">
        <f>X53-K53</f>
        <v>0</v>
      </c>
    </row>
    <row r="54" spans="2:36" s="43" customFormat="1" ht="20.25" x14ac:dyDescent="0.2">
      <c r="B54" s="46"/>
      <c r="C54" s="46"/>
      <c r="D54" s="46" t="s">
        <v>129</v>
      </c>
      <c r="E54" s="46"/>
      <c r="F54" s="46"/>
      <c r="G54" s="46"/>
      <c r="H54" s="150">
        <v>83462.91</v>
      </c>
      <c r="I54" s="150">
        <v>18995.71</v>
      </c>
      <c r="J54" s="150"/>
      <c r="K54" s="152">
        <f>1028.48+224.69+18.9+148.99</f>
        <v>1421.0600000000002</v>
      </c>
      <c r="L54" s="152">
        <f>242.32</f>
        <v>242.32</v>
      </c>
      <c r="M54" s="150"/>
      <c r="N54" s="152">
        <f>112.3</f>
        <v>112.3</v>
      </c>
      <c r="P54" s="334">
        <f t="shared" si="6"/>
        <v>1308.7600000000002</v>
      </c>
      <c r="Q54" s="675">
        <f t="shared" si="7"/>
        <v>11.654140694568124</v>
      </c>
      <c r="T54" s="150">
        <f t="shared" ref="T54" si="10">AVERAGE(K54:L54)</f>
        <v>831.69</v>
      </c>
      <c r="U54" s="46" t="str">
        <f>D54</f>
        <v>Other Expenses</v>
      </c>
      <c r="V54" s="150">
        <f>17.65+112.3</f>
        <v>129.94999999999999</v>
      </c>
      <c r="W54" s="688">
        <f>K54-V54</f>
        <v>1291.1100000000001</v>
      </c>
      <c r="X54" s="150">
        <f t="shared" si="0"/>
        <v>1421.0600000000002</v>
      </c>
      <c r="AA54" s="161">
        <f>X54-K54</f>
        <v>0</v>
      </c>
    </row>
    <row r="55" spans="2:36" s="43" customFormat="1" ht="20.25" x14ac:dyDescent="0.2">
      <c r="B55" s="42"/>
      <c r="C55" s="42"/>
      <c r="D55" s="42"/>
      <c r="E55" s="42" t="s">
        <v>68</v>
      </c>
      <c r="F55" s="42"/>
      <c r="G55" s="42"/>
      <c r="H55" s="157">
        <v>1078317.8599999999</v>
      </c>
      <c r="I55" s="157">
        <v>481701.87000000005</v>
      </c>
      <c r="J55" s="150"/>
      <c r="K55" s="313">
        <f>SUM(K34:K54)</f>
        <v>415707.41999999993</v>
      </c>
      <c r="L55" s="313">
        <f>SUM(L34:L54)</f>
        <v>568421.39999999991</v>
      </c>
      <c r="M55" s="150"/>
      <c r="N55" s="313">
        <f>SUM(N34:N54)</f>
        <v>378433.47</v>
      </c>
      <c r="P55" s="313">
        <f t="shared" si="6"/>
        <v>37273.949999999953</v>
      </c>
      <c r="Q55" s="737">
        <f t="shared" si="7"/>
        <v>9.8495384142422593E-2</v>
      </c>
      <c r="R55" s="161"/>
      <c r="T55" s="313">
        <f>SUM(T34:T54)</f>
        <v>563669.24499999988</v>
      </c>
      <c r="U55" s="684" t="s">
        <v>68</v>
      </c>
      <c r="V55" s="313">
        <f>SUM(V34:V54)</f>
        <v>280002.23</v>
      </c>
      <c r="W55" s="692">
        <f>SUM(W34:W54)</f>
        <v>129893.98999999998</v>
      </c>
      <c r="X55" s="313">
        <v>569937</v>
      </c>
      <c r="AA55" s="161">
        <f>K55-X55</f>
        <v>-154229.58000000007</v>
      </c>
      <c r="AH55" s="791">
        <v>398841.5</v>
      </c>
      <c r="AI55" s="792">
        <f>K55-AH55</f>
        <v>16865.919999999925</v>
      </c>
      <c r="AJ55" s="791"/>
    </row>
    <row r="56" spans="2:36" s="43" customFormat="1" ht="20.25" x14ac:dyDescent="0.2">
      <c r="B56" s="42"/>
      <c r="C56" s="42"/>
      <c r="D56" s="42"/>
      <c r="E56" s="42" t="s">
        <v>130</v>
      </c>
      <c r="F56" s="42"/>
      <c r="G56" s="42"/>
      <c r="H56" s="157">
        <v>233082.39000000013</v>
      </c>
      <c r="I56" s="157">
        <v>82291.709999999905</v>
      </c>
      <c r="J56" s="150"/>
      <c r="K56" s="314">
        <f>K30-K55</f>
        <v>69593.753333333414</v>
      </c>
      <c r="L56" s="314">
        <f>L30-L55</f>
        <v>47685.600000000093</v>
      </c>
      <c r="M56" s="150"/>
      <c r="N56" s="314">
        <f>N30-N55</f>
        <v>10619.400000000023</v>
      </c>
      <c r="P56" s="314">
        <f t="shared" si="6"/>
        <v>58974.353333333391</v>
      </c>
      <c r="Q56" s="738">
        <f t="shared" si="7"/>
        <v>5.5534543696756185</v>
      </c>
      <c r="T56" s="314">
        <f>T30-T55</f>
        <v>-75315.383333333186</v>
      </c>
      <c r="U56" s="684" t="s">
        <v>733</v>
      </c>
      <c r="V56" s="314">
        <f>V30-V55</f>
        <v>12415.549999999988</v>
      </c>
      <c r="W56" s="693">
        <f>K56-V56</f>
        <v>57178.203333333426</v>
      </c>
      <c r="X56" s="314">
        <f>X30-X55</f>
        <v>-144344.07666666654</v>
      </c>
      <c r="AB56" s="261">
        <f>V56+AA56</f>
        <v>12415.549999999988</v>
      </c>
      <c r="AC56" s="261">
        <f>K56-X56</f>
        <v>213937.82999999996</v>
      </c>
      <c r="AH56" s="791" t="s">
        <v>734</v>
      </c>
      <c r="AI56" s="791">
        <v>7032</v>
      </c>
      <c r="AJ56" s="791"/>
    </row>
    <row r="57" spans="2:36" s="43" customFormat="1" ht="20.25" x14ac:dyDescent="0.2">
      <c r="B57" s="42"/>
      <c r="C57" s="42"/>
      <c r="D57" s="42"/>
      <c r="E57" s="42"/>
      <c r="F57" s="42"/>
      <c r="G57" s="42"/>
      <c r="H57" s="150"/>
      <c r="I57" s="150"/>
      <c r="J57" s="150"/>
      <c r="K57" s="150"/>
      <c r="L57" s="150"/>
      <c r="M57" s="150"/>
      <c r="N57" s="150"/>
      <c r="Q57" s="38"/>
      <c r="T57" s="150"/>
      <c r="U57" s="46"/>
      <c r="V57" s="150"/>
      <c r="W57" s="688"/>
      <c r="X57" s="150">
        <f t="shared" si="0"/>
        <v>0</v>
      </c>
      <c r="AB57" s="161">
        <f>AB56-AB30</f>
        <v>3519.7700000000186</v>
      </c>
      <c r="AH57" s="791" t="s">
        <v>735</v>
      </c>
      <c r="AI57" s="791">
        <v>9838.44</v>
      </c>
      <c r="AJ57" s="791"/>
    </row>
    <row r="58" spans="2:36" s="43" customFormat="1" ht="20.25" x14ac:dyDescent="0.2">
      <c r="B58" s="42"/>
      <c r="C58" s="42"/>
      <c r="D58" s="46" t="s">
        <v>736</v>
      </c>
      <c r="E58" s="42"/>
      <c r="F58" s="42"/>
      <c r="G58" s="42"/>
      <c r="H58" s="150"/>
      <c r="I58" s="150"/>
      <c r="J58" s="150"/>
      <c r="K58" s="150">
        <f>-K12</f>
        <v>-59828.25</v>
      </c>
      <c r="L58" s="150"/>
      <c r="M58" s="150"/>
      <c r="N58" s="150"/>
      <c r="Q58" s="38"/>
      <c r="T58" s="150"/>
      <c r="U58" s="46"/>
      <c r="V58" s="150"/>
      <c r="W58" s="688"/>
      <c r="X58" s="150"/>
      <c r="AB58" s="161"/>
      <c r="AH58" s="791"/>
      <c r="AI58" s="792">
        <f>AI55-AI56-AI57</f>
        <v>-4.5200000000750151</v>
      </c>
      <c r="AJ58" s="791"/>
    </row>
    <row r="59" spans="2:36" s="40" customFormat="1" ht="26.25" x14ac:dyDescent="0.2">
      <c r="B59" s="175"/>
      <c r="C59" s="175"/>
      <c r="D59" s="46" t="s">
        <v>737</v>
      </c>
      <c r="F59" s="46"/>
      <c r="G59" s="46"/>
      <c r="H59" s="177"/>
      <c r="I59" s="150"/>
      <c r="J59" s="150"/>
      <c r="K59" s="150">
        <f>-2293.4*8</f>
        <v>-18347.2</v>
      </c>
      <c r="L59" s="150">
        <f>-2293*12</f>
        <v>-27516</v>
      </c>
      <c r="M59" s="150"/>
      <c r="N59" s="150">
        <f>-2293.4*8</f>
        <v>-18347.2</v>
      </c>
      <c r="P59" s="334">
        <f>K59-N59</f>
        <v>0</v>
      </c>
      <c r="Q59" s="675">
        <f>(K59-N59)/N59</f>
        <v>0</v>
      </c>
      <c r="T59" s="150">
        <f>2293.4*12*-1</f>
        <v>-27520.800000000003</v>
      </c>
      <c r="U59" s="46" t="str">
        <f>D59</f>
        <v>Less: Lease Payments</v>
      </c>
      <c r="V59" s="150">
        <v>-14133</v>
      </c>
      <c r="W59" s="688">
        <f>K59-V59</f>
        <v>-4214.2000000000007</v>
      </c>
      <c r="X59" s="150">
        <f t="shared" si="0"/>
        <v>-18347.2</v>
      </c>
      <c r="AH59" s="793"/>
      <c r="AI59" s="793"/>
      <c r="AJ59" s="793"/>
    </row>
    <row r="60" spans="2:36" s="43" customFormat="1" ht="20.25" x14ac:dyDescent="0.2">
      <c r="B60" s="42"/>
      <c r="C60" s="42"/>
      <c r="D60" s="46" t="s">
        <v>132</v>
      </c>
      <c r="F60" s="42"/>
      <c r="H60" s="150"/>
      <c r="I60" s="150"/>
      <c r="J60" s="150"/>
      <c r="K60" s="150">
        <f>K44</f>
        <v>29404.78</v>
      </c>
      <c r="L60" s="150">
        <f>L44</f>
        <v>41316</v>
      </c>
      <c r="M60" s="150"/>
      <c r="N60" s="150">
        <f>N44</f>
        <v>27544</v>
      </c>
      <c r="P60" s="334">
        <f>K60-N60</f>
        <v>1860.7799999999988</v>
      </c>
      <c r="Q60" s="675">
        <f>(K60-N60)/N60</f>
        <v>6.7556636654080696E-2</v>
      </c>
      <c r="T60" s="150">
        <f>T44</f>
        <v>42000</v>
      </c>
      <c r="U60" s="46" t="str">
        <f>D60</f>
        <v xml:space="preserve">Add Back Deprecation </v>
      </c>
      <c r="V60" s="150">
        <f>V44</f>
        <v>20658</v>
      </c>
      <c r="W60" s="688">
        <f>K60-V60</f>
        <v>8746.7799999999988</v>
      </c>
      <c r="X60" s="150">
        <f t="shared" si="0"/>
        <v>29404.78</v>
      </c>
      <c r="AH60" s="791"/>
      <c r="AI60" s="791"/>
      <c r="AJ60" s="791"/>
    </row>
    <row r="61" spans="2:36" s="43" customFormat="1" ht="23.25" x14ac:dyDescent="0.2">
      <c r="B61" s="42"/>
      <c r="C61" s="178"/>
      <c r="D61" s="42"/>
      <c r="E61" s="887" t="s">
        <v>133</v>
      </c>
      <c r="F61" s="887"/>
      <c r="G61" s="887"/>
      <c r="H61" s="150"/>
      <c r="I61" s="150"/>
      <c r="J61" s="150"/>
      <c r="K61" s="315">
        <f>K56+K59+K60+K58</f>
        <v>20823.083333333416</v>
      </c>
      <c r="L61" s="315">
        <f>L56+L59+L60</f>
        <v>61485.600000000093</v>
      </c>
      <c r="M61" s="159"/>
      <c r="N61" s="315">
        <f>N56+N59+N60</f>
        <v>19816.200000000023</v>
      </c>
      <c r="O61" s="261"/>
      <c r="P61" s="315">
        <f>K61-N61</f>
        <v>1006.8833333333932</v>
      </c>
      <c r="Q61" s="790">
        <f>(K61-N61)/N61</f>
        <v>5.0811120867441391E-2</v>
      </c>
      <c r="T61" s="315">
        <f>T56+T59+T60</f>
        <v>-60836.183333333189</v>
      </c>
      <c r="U61" s="684" t="s">
        <v>133</v>
      </c>
      <c r="V61" s="315">
        <f>V56+V59+V60</f>
        <v>18940.549999999988</v>
      </c>
      <c r="W61" s="694">
        <f>W56+W59+W60</f>
        <v>61710.783333333427</v>
      </c>
      <c r="X61" s="315">
        <f t="shared" si="0"/>
        <v>80651.333333333416</v>
      </c>
      <c r="AA61" s="43">
        <v>5422</v>
      </c>
      <c r="AB61" s="261">
        <f>V61-AA61</f>
        <v>13518.549999999988</v>
      </c>
    </row>
    <row r="62" spans="2:36" s="43" customFormat="1" ht="42" customHeight="1" x14ac:dyDescent="0.2">
      <c r="B62" s="42"/>
      <c r="C62" s="42"/>
      <c r="D62" s="42"/>
      <c r="E62" s="42"/>
      <c r="F62" s="42"/>
      <c r="G62" s="42"/>
      <c r="H62" s="150"/>
      <c r="I62" s="150"/>
      <c r="J62" s="150"/>
      <c r="K62" s="150"/>
      <c r="L62" s="150"/>
      <c r="M62" s="150"/>
      <c r="N62" s="150"/>
      <c r="Q62" s="38"/>
      <c r="T62" s="150"/>
      <c r="V62" s="150"/>
      <c r="W62" s="688"/>
    </row>
    <row r="63" spans="2:36" s="43" customFormat="1" ht="20.25" x14ac:dyDescent="0.2">
      <c r="B63" s="46"/>
      <c r="C63" s="46"/>
      <c r="D63" s="46"/>
      <c r="E63" s="46"/>
      <c r="G63" s="46" t="s">
        <v>134</v>
      </c>
      <c r="H63" s="159"/>
      <c r="I63" s="150"/>
      <c r="J63" s="150"/>
      <c r="K63" s="150">
        <v>172119</v>
      </c>
      <c r="L63" s="150">
        <v>247516</v>
      </c>
      <c r="M63" s="150"/>
      <c r="N63" s="150">
        <v>162481</v>
      </c>
      <c r="P63" s="161"/>
      <c r="Q63" s="675">
        <f>(K63-N63)/N63</f>
        <v>5.9317704839335059E-2</v>
      </c>
      <c r="T63" s="150">
        <v>247516</v>
      </c>
      <c r="U63" s="46" t="s">
        <v>134</v>
      </c>
      <c r="V63" s="150">
        <v>118318</v>
      </c>
      <c r="W63" s="688">
        <v>129198</v>
      </c>
      <c r="X63" s="150">
        <f>K63</f>
        <v>172119</v>
      </c>
    </row>
    <row r="64" spans="2:36" s="43" customFormat="1" ht="20.25" x14ac:dyDescent="0.2">
      <c r="B64" s="46"/>
      <c r="C64" s="46"/>
      <c r="D64" s="46"/>
      <c r="E64" s="46"/>
      <c r="G64" s="46" t="s">
        <v>135</v>
      </c>
      <c r="H64" s="150"/>
      <c r="I64" s="150"/>
      <c r="J64" s="150"/>
      <c r="K64" s="405">
        <f>(K55-K44-K53)/K63</f>
        <v>2.2035373201099233</v>
      </c>
      <c r="L64" s="405">
        <f>(L55-L44-L53)/L63</f>
        <v>2.0869656911068373</v>
      </c>
      <c r="M64" s="406"/>
      <c r="N64" s="405">
        <f>(N55-N44-N53)/N63</f>
        <v>2.116293412768262</v>
      </c>
      <c r="Q64" s="675">
        <f>(K64-N64)/N64</f>
        <v>4.1224863629632576E-2</v>
      </c>
      <c r="T64" s="405">
        <f>(T55-T44-T53)/T63</f>
        <v>2.0792079905945471</v>
      </c>
      <c r="U64" s="46" t="s">
        <v>135</v>
      </c>
      <c r="V64" s="405">
        <f>(V55-V44-V53)/V63</f>
        <v>2.1473506144458154</v>
      </c>
      <c r="W64" s="695">
        <f>(W55-W44-W53)/W63</f>
        <v>0.92407939751389323</v>
      </c>
      <c r="X64" s="405">
        <f>(X55-X44-X53)/X63</f>
        <v>3.0996009737449088</v>
      </c>
    </row>
    <row r="65" spans="2:24" s="43" customFormat="1" ht="20.25" x14ac:dyDescent="0.2">
      <c r="B65" s="46"/>
      <c r="C65" s="46"/>
      <c r="D65" s="46"/>
      <c r="E65" s="46"/>
      <c r="G65" s="46"/>
      <c r="H65" s="150"/>
      <c r="I65" s="150"/>
      <c r="J65" s="150"/>
      <c r="K65" s="150"/>
      <c r="L65" s="150"/>
      <c r="M65" s="150"/>
      <c r="N65" s="150"/>
      <c r="Q65" s="38"/>
      <c r="T65" s="150"/>
      <c r="U65" s="46"/>
      <c r="V65" s="150"/>
      <c r="W65" s="688"/>
      <c r="X65" s="150"/>
    </row>
    <row r="66" spans="2:24" s="43" customFormat="1" ht="20.25" x14ac:dyDescent="0.2">
      <c r="B66" s="46"/>
      <c r="C66" s="46"/>
      <c r="D66" s="46"/>
      <c r="E66" s="46"/>
      <c r="G66" s="46" t="s">
        <v>136</v>
      </c>
      <c r="H66" s="150"/>
      <c r="I66" s="150"/>
      <c r="J66" s="150"/>
      <c r="K66" s="150">
        <v>8966</v>
      </c>
      <c r="L66" s="150">
        <v>13394</v>
      </c>
      <c r="M66" s="150"/>
      <c r="N66" s="150">
        <v>8991</v>
      </c>
      <c r="Q66" s="675">
        <f>(K66-N66)/N66</f>
        <v>-2.7805583361138917E-3</v>
      </c>
      <c r="T66" s="150">
        <v>13394</v>
      </c>
      <c r="U66" s="46" t="s">
        <v>136</v>
      </c>
      <c r="V66" s="150">
        <v>6587</v>
      </c>
      <c r="W66" s="688">
        <f>K66-V66</f>
        <v>2379</v>
      </c>
      <c r="X66" s="150">
        <f>K66</f>
        <v>8966</v>
      </c>
    </row>
    <row r="67" spans="2:24" s="43" customFormat="1" ht="20.25" x14ac:dyDescent="0.2">
      <c r="B67" s="46"/>
      <c r="C67" s="46"/>
      <c r="D67" s="46"/>
      <c r="E67" s="46"/>
      <c r="G67" s="46" t="s">
        <v>137</v>
      </c>
      <c r="H67" s="150"/>
      <c r="I67" s="150"/>
      <c r="J67" s="150"/>
      <c r="K67" s="405">
        <f>(K55-K44-K53)/K66</f>
        <v>42.300985946910536</v>
      </c>
      <c r="L67" s="405">
        <f>(L55-L44-L53)/L66</f>
        <v>38.566328206659691</v>
      </c>
      <c r="M67" s="150"/>
      <c r="N67" s="405">
        <f>(N55-N44-N53)/N66</f>
        <v>38.244630185741293</v>
      </c>
      <c r="Q67" s="675">
        <f>(K67-N67)/N67</f>
        <v>0.10606340658724869</v>
      </c>
      <c r="T67" s="405">
        <f>(T55-T44-T53)/T66</f>
        <v>38.422968866656703</v>
      </c>
      <c r="U67" s="46" t="s">
        <v>137</v>
      </c>
      <c r="V67" s="405">
        <f>(V55-V44-V53)/V66</f>
        <v>38.571463488689844</v>
      </c>
      <c r="W67" s="695">
        <f>(W55-W44-W53)/W66</f>
        <v>50.184619588062205</v>
      </c>
      <c r="X67" s="405">
        <f>(X55-X44-X53)/X66</f>
        <v>59.50258978362703</v>
      </c>
    </row>
    <row r="68" spans="2:24" s="43" customFormat="1" ht="20.25" x14ac:dyDescent="0.2">
      <c r="B68" s="46"/>
      <c r="C68" s="46"/>
      <c r="D68" s="46"/>
      <c r="E68" s="46"/>
      <c r="G68" s="46"/>
      <c r="H68" s="150"/>
      <c r="I68" s="150"/>
      <c r="J68" s="150"/>
      <c r="K68" s="150"/>
      <c r="L68" s="150"/>
      <c r="M68" s="150"/>
      <c r="N68" s="150"/>
      <c r="Q68" s="38"/>
      <c r="T68" s="150"/>
      <c r="U68" s="46"/>
      <c r="V68" s="150"/>
      <c r="W68" s="688"/>
      <c r="X68" s="150"/>
    </row>
    <row r="69" spans="2:24" s="43" customFormat="1" ht="20.25" x14ac:dyDescent="0.2">
      <c r="B69" s="46"/>
      <c r="C69" s="46"/>
      <c r="D69" s="42"/>
      <c r="E69" s="46"/>
      <c r="G69" s="46" t="s">
        <v>138</v>
      </c>
      <c r="H69" s="150"/>
      <c r="I69" s="150"/>
      <c r="J69" s="150"/>
      <c r="K69" s="150">
        <v>4506</v>
      </c>
      <c r="L69" s="150">
        <v>6070</v>
      </c>
      <c r="M69" s="150"/>
      <c r="N69" s="150">
        <v>3925</v>
      </c>
      <c r="Q69" s="675">
        <f>(K69-N69)/N69</f>
        <v>0.14802547770700636</v>
      </c>
      <c r="T69" s="150">
        <v>6070</v>
      </c>
      <c r="U69" s="46" t="s">
        <v>138</v>
      </c>
      <c r="V69" s="150">
        <v>2742</v>
      </c>
      <c r="W69" s="688">
        <f>K69-V69</f>
        <v>1764</v>
      </c>
      <c r="X69" s="150">
        <f>K69</f>
        <v>4506</v>
      </c>
    </row>
    <row r="70" spans="2:24" s="43" customFormat="1" ht="20.25" x14ac:dyDescent="0.2">
      <c r="B70" s="46"/>
      <c r="C70" s="46"/>
      <c r="D70" s="46"/>
      <c r="E70" s="46"/>
      <c r="F70" s="46"/>
      <c r="G70" s="46" t="s">
        <v>139</v>
      </c>
      <c r="H70" s="150"/>
      <c r="I70" s="150"/>
      <c r="J70" s="150"/>
      <c r="K70" s="405">
        <f>K9/K69</f>
        <v>30.054791389258771</v>
      </c>
      <c r="L70" s="405">
        <f>L9/L69</f>
        <v>30.938879736408566</v>
      </c>
      <c r="M70" s="150"/>
      <c r="N70" s="405">
        <f>N9/N69</f>
        <v>30.553075159235672</v>
      </c>
      <c r="Q70" s="675">
        <f>(K70-N70)/N70</f>
        <v>-1.6308792728062859E-2</v>
      </c>
      <c r="T70" s="405">
        <f>T9/T69</f>
        <v>26.624867380560133</v>
      </c>
      <c r="U70" s="46" t="s">
        <v>139</v>
      </c>
      <c r="V70" s="405">
        <f>V9/V69</f>
        <v>30.422844638949673</v>
      </c>
      <c r="W70" s="695">
        <f>W9/W69</f>
        <v>29.482681405895697</v>
      </c>
      <c r="X70" s="405">
        <f>X9/X69</f>
        <v>30.054791389258771</v>
      </c>
    </row>
    <row r="71" spans="2:24" s="43" customFormat="1" ht="20.25" x14ac:dyDescent="0.2">
      <c r="B71" s="46"/>
      <c r="C71" s="46"/>
      <c r="D71" s="42"/>
      <c r="E71" s="42"/>
      <c r="H71" s="150"/>
      <c r="I71" s="150"/>
      <c r="J71" s="150"/>
      <c r="K71" s="150"/>
      <c r="L71" s="150"/>
      <c r="M71" s="150"/>
      <c r="N71" s="150"/>
      <c r="Q71" s="38"/>
      <c r="T71" s="150"/>
      <c r="V71" s="150"/>
      <c r="W71" s="688"/>
    </row>
    <row r="72" spans="2:24" s="43" customFormat="1" ht="20.25" x14ac:dyDescent="0.2">
      <c r="B72" s="46"/>
      <c r="C72" s="46"/>
      <c r="D72" s="46"/>
      <c r="E72" s="46"/>
      <c r="F72" s="46"/>
      <c r="G72" s="46" t="s">
        <v>738</v>
      </c>
      <c r="H72" s="150"/>
      <c r="I72" s="150"/>
      <c r="J72" s="150"/>
      <c r="K72" s="681">
        <f>K63/K66</f>
        <v>19.19685478474236</v>
      </c>
      <c r="L72" s="681">
        <f>L63/L66</f>
        <v>18.479617739286248</v>
      </c>
      <c r="M72" s="150"/>
      <c r="N72" s="681">
        <f>N63/N66</f>
        <v>18.071515960404849</v>
      </c>
      <c r="Q72" s="675">
        <f>(K72-N72)/N72</f>
        <v>6.2271412470495412E-2</v>
      </c>
      <c r="T72" s="681">
        <f>T63/T66</f>
        <v>18.479617739286248</v>
      </c>
      <c r="U72" s="46" t="s">
        <v>738</v>
      </c>
      <c r="V72" s="681">
        <f>V63/V66</f>
        <v>17.9623500834978</v>
      </c>
      <c r="W72" s="696">
        <f>W63/W66</f>
        <v>54.307692307692307</v>
      </c>
      <c r="X72" s="681">
        <f>X63/X66</f>
        <v>19.19685478474236</v>
      </c>
    </row>
    <row r="77" spans="2:24" ht="17.100000000000001" hidden="1" customHeight="1" x14ac:dyDescent="0.25">
      <c r="G77" s="46" t="s">
        <v>739</v>
      </c>
      <c r="K77" s="147">
        <f>SUM(K34:K43)</f>
        <v>351266.63999999996</v>
      </c>
    </row>
    <row r="78" spans="2:24" ht="17.100000000000001" hidden="1" customHeight="1" x14ac:dyDescent="0.25">
      <c r="G78" s="46" t="s">
        <v>740</v>
      </c>
      <c r="K78" s="147">
        <f>SUM(K45:K54)-K53</f>
        <v>28004</v>
      </c>
    </row>
    <row r="79" spans="2:24" hidden="1" x14ac:dyDescent="0.25"/>
    <row r="80" spans="2:24" ht="17.100000000000001" hidden="1" customHeight="1" x14ac:dyDescent="0.25">
      <c r="G80" s="46" t="s">
        <v>741</v>
      </c>
      <c r="K80" s="748">
        <f>K77/K63</f>
        <v>2.0408359332787196</v>
      </c>
    </row>
    <row r="81" spans="7:11" ht="17.100000000000001" hidden="1" customHeight="1" x14ac:dyDescent="0.25">
      <c r="G81" s="46" t="s">
        <v>742</v>
      </c>
      <c r="K81" s="748">
        <f>K78/K63</f>
        <v>0.162701386831204</v>
      </c>
    </row>
    <row r="82" spans="7:11" ht="17.100000000000001" hidden="1" customHeight="1" x14ac:dyDescent="0.25">
      <c r="G82" s="46"/>
    </row>
    <row r="83" spans="7:11" ht="20.25" hidden="1" x14ac:dyDescent="0.25">
      <c r="G83" s="46"/>
    </row>
    <row r="84" spans="7:11" ht="20.25" hidden="1" x14ac:dyDescent="0.25">
      <c r="G84" s="46" t="s">
        <v>743</v>
      </c>
      <c r="K84">
        <v>373</v>
      </c>
    </row>
    <row r="85" spans="7:11" hidden="1" x14ac:dyDescent="0.25"/>
    <row r="86" spans="7:11" hidden="1" x14ac:dyDescent="0.25"/>
    <row r="87" spans="7:11" hidden="1" x14ac:dyDescent="0.25"/>
  </sheetData>
  <mergeCells count="11">
    <mergeCell ref="E36:G36"/>
    <mergeCell ref="E38:G38"/>
    <mergeCell ref="E61:G61"/>
    <mergeCell ref="E39:G39"/>
    <mergeCell ref="E40:G40"/>
    <mergeCell ref="E41:G41"/>
    <mergeCell ref="V6:X6"/>
    <mergeCell ref="D24:G24"/>
    <mergeCell ref="E34:G34"/>
    <mergeCell ref="P8:Q8"/>
    <mergeCell ref="E35:G35"/>
  </mergeCells>
  <pageMargins left="1.2" right="0.2" top="0.25" bottom="0.5" header="0.3" footer="0.3"/>
  <pageSetup scale="44" orientation="portrait" r:id="rId1"/>
  <headerFooter>
    <oddFooter>&amp;R&amp;9&amp;Z
&amp;F</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8E67-9435-4495-AC80-4105D04FAB27}">
  <sheetPr>
    <pageSetUpPr fitToPage="1"/>
  </sheetPr>
  <dimension ref="B1:AC57"/>
  <sheetViews>
    <sheetView topLeftCell="K11" zoomScale="70" zoomScaleNormal="70" workbookViewId="0">
      <selection activeCell="K11" sqref="K11"/>
    </sheetView>
  </sheetViews>
  <sheetFormatPr defaultRowHeight="18" x14ac:dyDescent="0.25"/>
  <cols>
    <col min="1" max="1" width="51.875" customWidth="1"/>
    <col min="2" max="2" width="2.875" style="33" customWidth="1"/>
    <col min="3" max="3" width="8.125" style="33" customWidth="1"/>
    <col min="4" max="4" width="8.75" style="33" customWidth="1"/>
    <col min="5" max="5" width="5.75" style="33" customWidth="1"/>
    <col min="6" max="6" width="2.875" style="33" customWidth="1"/>
    <col min="7" max="7" width="44.625" style="33" customWidth="1"/>
    <col min="8" max="9" width="24.875" style="147" customWidth="1"/>
    <col min="10" max="10" width="24.875" customWidth="1"/>
    <col min="11" max="11" width="1.625" customWidth="1"/>
    <col min="12" max="12" width="25.125" hidden="1" customWidth="1"/>
    <col min="13" max="13" width="23.25" style="253" hidden="1" customWidth="1"/>
    <col min="14" max="14" width="17.25" hidden="1" customWidth="1"/>
    <col min="15" max="15" width="17.25" customWidth="1"/>
    <col min="16" max="16" width="10.75" bestFit="1" customWidth="1"/>
    <col min="17" max="17" width="84.375" style="8" hidden="1" customWidth="1"/>
    <col min="18" max="18" width="12.625" style="19" bestFit="1" customWidth="1"/>
    <col min="19" max="19" width="31.875" style="18" customWidth="1"/>
    <col min="20" max="20" width="17.375" style="8" customWidth="1"/>
    <col min="21" max="21" width="15" style="8" bestFit="1" customWidth="1"/>
    <col min="22" max="22" width="9.5" style="8" bestFit="1" customWidth="1"/>
    <col min="23" max="29" width="9" style="8"/>
    <col min="244" max="244" width="2.875" customWidth="1"/>
    <col min="245" max="245" width="8.125" customWidth="1"/>
    <col min="246" max="246" width="8.75" customWidth="1"/>
    <col min="247" max="247" width="11" customWidth="1"/>
    <col min="248" max="248" width="2.875" customWidth="1"/>
    <col min="249" max="249" width="77.625" customWidth="1"/>
    <col min="250" max="250" width="20.875" customWidth="1"/>
    <col min="500" max="500" width="2.875" customWidth="1"/>
    <col min="501" max="501" width="8.125" customWidth="1"/>
    <col min="502" max="502" width="8.75" customWidth="1"/>
    <col min="503" max="503" width="11" customWidth="1"/>
    <col min="504" max="504" width="2.875" customWidth="1"/>
    <col min="505" max="505" width="77.625" customWidth="1"/>
    <col min="506" max="506" width="20.875" customWidth="1"/>
    <col min="756" max="756" width="2.875" customWidth="1"/>
    <col min="757" max="757" width="8.125" customWidth="1"/>
    <col min="758" max="758" width="8.75" customWidth="1"/>
    <col min="759" max="759" width="11" customWidth="1"/>
    <col min="760" max="760" width="2.875" customWidth="1"/>
    <col min="761" max="761" width="77.625" customWidth="1"/>
    <col min="762" max="762" width="20.875" customWidth="1"/>
    <col min="1012" max="1012" width="2.875" customWidth="1"/>
    <col min="1013" max="1013" width="8.125" customWidth="1"/>
    <col min="1014" max="1014" width="8.75" customWidth="1"/>
    <col min="1015" max="1015" width="11" customWidth="1"/>
    <col min="1016" max="1016" width="2.875" customWidth="1"/>
    <col min="1017" max="1017" width="77.625" customWidth="1"/>
    <col min="1018" max="1018" width="20.875" customWidth="1"/>
    <col min="1268" max="1268" width="2.875" customWidth="1"/>
    <col min="1269" max="1269" width="8.125" customWidth="1"/>
    <col min="1270" max="1270" width="8.75" customWidth="1"/>
    <col min="1271" max="1271" width="11" customWidth="1"/>
    <col min="1272" max="1272" width="2.875" customWidth="1"/>
    <col min="1273" max="1273" width="77.625" customWidth="1"/>
    <col min="1274" max="1274" width="20.875" customWidth="1"/>
    <col min="1524" max="1524" width="2.875" customWidth="1"/>
    <col min="1525" max="1525" width="8.125" customWidth="1"/>
    <col min="1526" max="1526" width="8.75" customWidth="1"/>
    <col min="1527" max="1527" width="11" customWidth="1"/>
    <col min="1528" max="1528" width="2.875" customWidth="1"/>
    <col min="1529" max="1529" width="77.625" customWidth="1"/>
    <col min="1530" max="1530" width="20.875" customWidth="1"/>
    <col min="1780" max="1780" width="2.875" customWidth="1"/>
    <col min="1781" max="1781" width="8.125" customWidth="1"/>
    <col min="1782" max="1782" width="8.75" customWidth="1"/>
    <col min="1783" max="1783" width="11" customWidth="1"/>
    <col min="1784" max="1784" width="2.875" customWidth="1"/>
    <col min="1785" max="1785" width="77.625" customWidth="1"/>
    <col min="1786" max="1786" width="20.875" customWidth="1"/>
    <col min="2036" max="2036" width="2.875" customWidth="1"/>
    <col min="2037" max="2037" width="8.125" customWidth="1"/>
    <col min="2038" max="2038" width="8.75" customWidth="1"/>
    <col min="2039" max="2039" width="11" customWidth="1"/>
    <col min="2040" max="2040" width="2.875" customWidth="1"/>
    <col min="2041" max="2041" width="77.625" customWidth="1"/>
    <col min="2042" max="2042" width="20.875" customWidth="1"/>
    <col min="2292" max="2292" width="2.875" customWidth="1"/>
    <col min="2293" max="2293" width="8.125" customWidth="1"/>
    <col min="2294" max="2294" width="8.75" customWidth="1"/>
    <col min="2295" max="2295" width="11" customWidth="1"/>
    <col min="2296" max="2296" width="2.875" customWidth="1"/>
    <col min="2297" max="2297" width="77.625" customWidth="1"/>
    <col min="2298" max="2298" width="20.875" customWidth="1"/>
    <col min="2548" max="2548" width="2.875" customWidth="1"/>
    <col min="2549" max="2549" width="8.125" customWidth="1"/>
    <col min="2550" max="2550" width="8.75" customWidth="1"/>
    <col min="2551" max="2551" width="11" customWidth="1"/>
    <col min="2552" max="2552" width="2.875" customWidth="1"/>
    <col min="2553" max="2553" width="77.625" customWidth="1"/>
    <col min="2554" max="2554" width="20.875" customWidth="1"/>
    <col min="2804" max="2804" width="2.875" customWidth="1"/>
    <col min="2805" max="2805" width="8.125" customWidth="1"/>
    <col min="2806" max="2806" width="8.75" customWidth="1"/>
    <col min="2807" max="2807" width="11" customWidth="1"/>
    <col min="2808" max="2808" width="2.875" customWidth="1"/>
    <col min="2809" max="2809" width="77.625" customWidth="1"/>
    <col min="2810" max="2810" width="20.875" customWidth="1"/>
    <col min="3060" max="3060" width="2.875" customWidth="1"/>
    <col min="3061" max="3061" width="8.125" customWidth="1"/>
    <col min="3062" max="3062" width="8.75" customWidth="1"/>
    <col min="3063" max="3063" width="11" customWidth="1"/>
    <col min="3064" max="3064" width="2.875" customWidth="1"/>
    <col min="3065" max="3065" width="77.625" customWidth="1"/>
    <col min="3066" max="3066" width="20.875" customWidth="1"/>
    <col min="3316" max="3316" width="2.875" customWidth="1"/>
    <col min="3317" max="3317" width="8.125" customWidth="1"/>
    <col min="3318" max="3318" width="8.75" customWidth="1"/>
    <col min="3319" max="3319" width="11" customWidth="1"/>
    <col min="3320" max="3320" width="2.875" customWidth="1"/>
    <col min="3321" max="3321" width="77.625" customWidth="1"/>
    <col min="3322" max="3322" width="20.875" customWidth="1"/>
    <col min="3572" max="3572" width="2.875" customWidth="1"/>
    <col min="3573" max="3573" width="8.125" customWidth="1"/>
    <col min="3574" max="3574" width="8.75" customWidth="1"/>
    <col min="3575" max="3575" width="11" customWidth="1"/>
    <col min="3576" max="3576" width="2.875" customWidth="1"/>
    <col min="3577" max="3577" width="77.625" customWidth="1"/>
    <col min="3578" max="3578" width="20.875" customWidth="1"/>
    <col min="3828" max="3828" width="2.875" customWidth="1"/>
    <col min="3829" max="3829" width="8.125" customWidth="1"/>
    <col min="3830" max="3830" width="8.75" customWidth="1"/>
    <col min="3831" max="3831" width="11" customWidth="1"/>
    <col min="3832" max="3832" width="2.875" customWidth="1"/>
    <col min="3833" max="3833" width="77.625" customWidth="1"/>
    <col min="3834" max="3834" width="20.875" customWidth="1"/>
    <col min="4084" max="4084" width="2.875" customWidth="1"/>
    <col min="4085" max="4085" width="8.125" customWidth="1"/>
    <col min="4086" max="4086" width="8.75" customWidth="1"/>
    <col min="4087" max="4087" width="11" customWidth="1"/>
    <col min="4088" max="4088" width="2.875" customWidth="1"/>
    <col min="4089" max="4089" width="77.625" customWidth="1"/>
    <col min="4090" max="4090" width="20.875" customWidth="1"/>
    <col min="4340" max="4340" width="2.875" customWidth="1"/>
    <col min="4341" max="4341" width="8.125" customWidth="1"/>
    <col min="4342" max="4342" width="8.75" customWidth="1"/>
    <col min="4343" max="4343" width="11" customWidth="1"/>
    <col min="4344" max="4344" width="2.875" customWidth="1"/>
    <col min="4345" max="4345" width="77.625" customWidth="1"/>
    <col min="4346" max="4346" width="20.875" customWidth="1"/>
    <col min="4596" max="4596" width="2.875" customWidth="1"/>
    <col min="4597" max="4597" width="8.125" customWidth="1"/>
    <col min="4598" max="4598" width="8.75" customWidth="1"/>
    <col min="4599" max="4599" width="11" customWidth="1"/>
    <col min="4600" max="4600" width="2.875" customWidth="1"/>
    <col min="4601" max="4601" width="77.625" customWidth="1"/>
    <col min="4602" max="4602" width="20.875" customWidth="1"/>
    <col min="4852" max="4852" width="2.875" customWidth="1"/>
    <col min="4853" max="4853" width="8.125" customWidth="1"/>
    <col min="4854" max="4854" width="8.75" customWidth="1"/>
    <col min="4855" max="4855" width="11" customWidth="1"/>
    <col min="4856" max="4856" width="2.875" customWidth="1"/>
    <col min="4857" max="4857" width="77.625" customWidth="1"/>
    <col min="4858" max="4858" width="20.875" customWidth="1"/>
    <col min="5108" max="5108" width="2.875" customWidth="1"/>
    <col min="5109" max="5109" width="8.125" customWidth="1"/>
    <col min="5110" max="5110" width="8.75" customWidth="1"/>
    <col min="5111" max="5111" width="11" customWidth="1"/>
    <col min="5112" max="5112" width="2.875" customWidth="1"/>
    <col min="5113" max="5113" width="77.625" customWidth="1"/>
    <col min="5114" max="5114" width="20.875" customWidth="1"/>
    <col min="5364" max="5364" width="2.875" customWidth="1"/>
    <col min="5365" max="5365" width="8.125" customWidth="1"/>
    <col min="5366" max="5366" width="8.75" customWidth="1"/>
    <col min="5367" max="5367" width="11" customWidth="1"/>
    <col min="5368" max="5368" width="2.875" customWidth="1"/>
    <col min="5369" max="5369" width="77.625" customWidth="1"/>
    <col min="5370" max="5370" width="20.875" customWidth="1"/>
    <col min="5620" max="5620" width="2.875" customWidth="1"/>
    <col min="5621" max="5621" width="8.125" customWidth="1"/>
    <col min="5622" max="5622" width="8.75" customWidth="1"/>
    <col min="5623" max="5623" width="11" customWidth="1"/>
    <col min="5624" max="5624" width="2.875" customWidth="1"/>
    <col min="5625" max="5625" width="77.625" customWidth="1"/>
    <col min="5626" max="5626" width="20.875" customWidth="1"/>
    <col min="5876" max="5876" width="2.875" customWidth="1"/>
    <col min="5877" max="5877" width="8.125" customWidth="1"/>
    <col min="5878" max="5878" width="8.75" customWidth="1"/>
    <col min="5879" max="5879" width="11" customWidth="1"/>
    <col min="5880" max="5880" width="2.875" customWidth="1"/>
    <col min="5881" max="5881" width="77.625" customWidth="1"/>
    <col min="5882" max="5882" width="20.875" customWidth="1"/>
    <col min="6132" max="6132" width="2.875" customWidth="1"/>
    <col min="6133" max="6133" width="8.125" customWidth="1"/>
    <col min="6134" max="6134" width="8.75" customWidth="1"/>
    <col min="6135" max="6135" width="11" customWidth="1"/>
    <col min="6136" max="6136" width="2.875" customWidth="1"/>
    <col min="6137" max="6137" width="77.625" customWidth="1"/>
    <col min="6138" max="6138" width="20.875" customWidth="1"/>
    <col min="6388" max="6388" width="2.875" customWidth="1"/>
    <col min="6389" max="6389" width="8.125" customWidth="1"/>
    <col min="6390" max="6390" width="8.75" customWidth="1"/>
    <col min="6391" max="6391" width="11" customWidth="1"/>
    <col min="6392" max="6392" width="2.875" customWidth="1"/>
    <col min="6393" max="6393" width="77.625" customWidth="1"/>
    <col min="6394" max="6394" width="20.875" customWidth="1"/>
    <col min="6644" max="6644" width="2.875" customWidth="1"/>
    <col min="6645" max="6645" width="8.125" customWidth="1"/>
    <col min="6646" max="6646" width="8.75" customWidth="1"/>
    <col min="6647" max="6647" width="11" customWidth="1"/>
    <col min="6648" max="6648" width="2.875" customWidth="1"/>
    <col min="6649" max="6649" width="77.625" customWidth="1"/>
    <col min="6650" max="6650" width="20.875" customWidth="1"/>
    <col min="6900" max="6900" width="2.875" customWidth="1"/>
    <col min="6901" max="6901" width="8.125" customWidth="1"/>
    <col min="6902" max="6902" width="8.75" customWidth="1"/>
    <col min="6903" max="6903" width="11" customWidth="1"/>
    <col min="6904" max="6904" width="2.875" customWidth="1"/>
    <col min="6905" max="6905" width="77.625" customWidth="1"/>
    <col min="6906" max="6906" width="20.875" customWidth="1"/>
    <col min="7156" max="7156" width="2.875" customWidth="1"/>
    <col min="7157" max="7157" width="8.125" customWidth="1"/>
    <col min="7158" max="7158" width="8.75" customWidth="1"/>
    <col min="7159" max="7159" width="11" customWidth="1"/>
    <col min="7160" max="7160" width="2.875" customWidth="1"/>
    <col min="7161" max="7161" width="77.625" customWidth="1"/>
    <col min="7162" max="7162" width="20.875" customWidth="1"/>
    <col min="7412" max="7412" width="2.875" customWidth="1"/>
    <col min="7413" max="7413" width="8.125" customWidth="1"/>
    <col min="7414" max="7414" width="8.75" customWidth="1"/>
    <col min="7415" max="7415" width="11" customWidth="1"/>
    <col min="7416" max="7416" width="2.875" customWidth="1"/>
    <col min="7417" max="7417" width="77.625" customWidth="1"/>
    <col min="7418" max="7418" width="20.875" customWidth="1"/>
    <col min="7668" max="7668" width="2.875" customWidth="1"/>
    <col min="7669" max="7669" width="8.125" customWidth="1"/>
    <col min="7670" max="7670" width="8.75" customWidth="1"/>
    <col min="7671" max="7671" width="11" customWidth="1"/>
    <col min="7672" max="7672" width="2.875" customWidth="1"/>
    <col min="7673" max="7673" width="77.625" customWidth="1"/>
    <col min="7674" max="7674" width="20.875" customWidth="1"/>
    <col min="7924" max="7924" width="2.875" customWidth="1"/>
    <col min="7925" max="7925" width="8.125" customWidth="1"/>
    <col min="7926" max="7926" width="8.75" customWidth="1"/>
    <col min="7927" max="7927" width="11" customWidth="1"/>
    <col min="7928" max="7928" width="2.875" customWidth="1"/>
    <col min="7929" max="7929" width="77.625" customWidth="1"/>
    <col min="7930" max="7930" width="20.875" customWidth="1"/>
    <col min="8180" max="8180" width="2.875" customWidth="1"/>
    <col min="8181" max="8181" width="8.125" customWidth="1"/>
    <col min="8182" max="8182" width="8.75" customWidth="1"/>
    <col min="8183" max="8183" width="11" customWidth="1"/>
    <col min="8184" max="8184" width="2.875" customWidth="1"/>
    <col min="8185" max="8185" width="77.625" customWidth="1"/>
    <col min="8186" max="8186" width="20.875" customWidth="1"/>
    <col min="8436" max="8436" width="2.875" customWidth="1"/>
    <col min="8437" max="8437" width="8.125" customWidth="1"/>
    <col min="8438" max="8438" width="8.75" customWidth="1"/>
    <col min="8439" max="8439" width="11" customWidth="1"/>
    <col min="8440" max="8440" width="2.875" customWidth="1"/>
    <col min="8441" max="8441" width="77.625" customWidth="1"/>
    <col min="8442" max="8442" width="20.875" customWidth="1"/>
    <col min="8692" max="8692" width="2.875" customWidth="1"/>
    <col min="8693" max="8693" width="8.125" customWidth="1"/>
    <col min="8694" max="8694" width="8.75" customWidth="1"/>
    <col min="8695" max="8695" width="11" customWidth="1"/>
    <col min="8696" max="8696" width="2.875" customWidth="1"/>
    <col min="8697" max="8697" width="77.625" customWidth="1"/>
    <col min="8698" max="8698" width="20.875" customWidth="1"/>
    <col min="8948" max="8948" width="2.875" customWidth="1"/>
    <col min="8949" max="8949" width="8.125" customWidth="1"/>
    <col min="8950" max="8950" width="8.75" customWidth="1"/>
    <col min="8951" max="8951" width="11" customWidth="1"/>
    <col min="8952" max="8952" width="2.875" customWidth="1"/>
    <col min="8953" max="8953" width="77.625" customWidth="1"/>
    <col min="8954" max="8954" width="20.875" customWidth="1"/>
    <col min="9204" max="9204" width="2.875" customWidth="1"/>
    <col min="9205" max="9205" width="8.125" customWidth="1"/>
    <col min="9206" max="9206" width="8.75" customWidth="1"/>
    <col min="9207" max="9207" width="11" customWidth="1"/>
    <col min="9208" max="9208" width="2.875" customWidth="1"/>
    <col min="9209" max="9209" width="77.625" customWidth="1"/>
    <col min="9210" max="9210" width="20.875" customWidth="1"/>
    <col min="9460" max="9460" width="2.875" customWidth="1"/>
    <col min="9461" max="9461" width="8.125" customWidth="1"/>
    <col min="9462" max="9462" width="8.75" customWidth="1"/>
    <col min="9463" max="9463" width="11" customWidth="1"/>
    <col min="9464" max="9464" width="2.875" customWidth="1"/>
    <col min="9465" max="9465" width="77.625" customWidth="1"/>
    <col min="9466" max="9466" width="20.875" customWidth="1"/>
    <col min="9716" max="9716" width="2.875" customWidth="1"/>
    <col min="9717" max="9717" width="8.125" customWidth="1"/>
    <col min="9718" max="9718" width="8.75" customWidth="1"/>
    <col min="9719" max="9719" width="11" customWidth="1"/>
    <col min="9720" max="9720" width="2.875" customWidth="1"/>
    <col min="9721" max="9721" width="77.625" customWidth="1"/>
    <col min="9722" max="9722" width="20.875" customWidth="1"/>
    <col min="9972" max="9972" width="2.875" customWidth="1"/>
    <col min="9973" max="9973" width="8.125" customWidth="1"/>
    <col min="9974" max="9974" width="8.75" customWidth="1"/>
    <col min="9975" max="9975" width="11" customWidth="1"/>
    <col min="9976" max="9976" width="2.875" customWidth="1"/>
    <col min="9977" max="9977" width="77.625" customWidth="1"/>
    <col min="9978" max="9978" width="20.875" customWidth="1"/>
    <col min="10228" max="10228" width="2.875" customWidth="1"/>
    <col min="10229" max="10229" width="8.125" customWidth="1"/>
    <col min="10230" max="10230" width="8.75" customWidth="1"/>
    <col min="10231" max="10231" width="11" customWidth="1"/>
    <col min="10232" max="10232" width="2.875" customWidth="1"/>
    <col min="10233" max="10233" width="77.625" customWidth="1"/>
    <col min="10234" max="10234" width="20.875" customWidth="1"/>
    <col min="10484" max="10484" width="2.875" customWidth="1"/>
    <col min="10485" max="10485" width="8.125" customWidth="1"/>
    <col min="10486" max="10486" width="8.75" customWidth="1"/>
    <col min="10487" max="10487" width="11" customWidth="1"/>
    <col min="10488" max="10488" width="2.875" customWidth="1"/>
    <col min="10489" max="10489" width="77.625" customWidth="1"/>
    <col min="10490" max="10490" width="20.875" customWidth="1"/>
    <col min="10740" max="10740" width="2.875" customWidth="1"/>
    <col min="10741" max="10741" width="8.125" customWidth="1"/>
    <col min="10742" max="10742" width="8.75" customWidth="1"/>
    <col min="10743" max="10743" width="11" customWidth="1"/>
    <col min="10744" max="10744" width="2.875" customWidth="1"/>
    <col min="10745" max="10745" width="77.625" customWidth="1"/>
    <col min="10746" max="10746" width="20.875" customWidth="1"/>
    <col min="10996" max="10996" width="2.875" customWidth="1"/>
    <col min="10997" max="10997" width="8.125" customWidth="1"/>
    <col min="10998" max="10998" width="8.75" customWidth="1"/>
    <col min="10999" max="10999" width="11" customWidth="1"/>
    <col min="11000" max="11000" width="2.875" customWidth="1"/>
    <col min="11001" max="11001" width="77.625" customWidth="1"/>
    <col min="11002" max="11002" width="20.875" customWidth="1"/>
    <col min="11252" max="11252" width="2.875" customWidth="1"/>
    <col min="11253" max="11253" width="8.125" customWidth="1"/>
    <col min="11254" max="11254" width="8.75" customWidth="1"/>
    <col min="11255" max="11255" width="11" customWidth="1"/>
    <col min="11256" max="11256" width="2.875" customWidth="1"/>
    <col min="11257" max="11257" width="77.625" customWidth="1"/>
    <col min="11258" max="11258" width="20.875" customWidth="1"/>
    <col min="11508" max="11508" width="2.875" customWidth="1"/>
    <col min="11509" max="11509" width="8.125" customWidth="1"/>
    <col min="11510" max="11510" width="8.75" customWidth="1"/>
    <col min="11511" max="11511" width="11" customWidth="1"/>
    <col min="11512" max="11512" width="2.875" customWidth="1"/>
    <col min="11513" max="11513" width="77.625" customWidth="1"/>
    <col min="11514" max="11514" width="20.875" customWidth="1"/>
    <col min="11764" max="11764" width="2.875" customWidth="1"/>
    <col min="11765" max="11765" width="8.125" customWidth="1"/>
    <col min="11766" max="11766" width="8.75" customWidth="1"/>
    <col min="11767" max="11767" width="11" customWidth="1"/>
    <col min="11768" max="11768" width="2.875" customWidth="1"/>
    <col min="11769" max="11769" width="77.625" customWidth="1"/>
    <col min="11770" max="11770" width="20.875" customWidth="1"/>
    <col min="12020" max="12020" width="2.875" customWidth="1"/>
    <col min="12021" max="12021" width="8.125" customWidth="1"/>
    <col min="12022" max="12022" width="8.75" customWidth="1"/>
    <col min="12023" max="12023" width="11" customWidth="1"/>
    <col min="12024" max="12024" width="2.875" customWidth="1"/>
    <col min="12025" max="12025" width="77.625" customWidth="1"/>
    <col min="12026" max="12026" width="20.875" customWidth="1"/>
    <col min="12276" max="12276" width="2.875" customWidth="1"/>
    <col min="12277" max="12277" width="8.125" customWidth="1"/>
    <col min="12278" max="12278" width="8.75" customWidth="1"/>
    <col min="12279" max="12279" width="11" customWidth="1"/>
    <col min="12280" max="12280" width="2.875" customWidth="1"/>
    <col min="12281" max="12281" width="77.625" customWidth="1"/>
    <col min="12282" max="12282" width="20.875" customWidth="1"/>
    <col min="12532" max="12532" width="2.875" customWidth="1"/>
    <col min="12533" max="12533" width="8.125" customWidth="1"/>
    <col min="12534" max="12534" width="8.75" customWidth="1"/>
    <col min="12535" max="12535" width="11" customWidth="1"/>
    <col min="12536" max="12536" width="2.875" customWidth="1"/>
    <col min="12537" max="12537" width="77.625" customWidth="1"/>
    <col min="12538" max="12538" width="20.875" customWidth="1"/>
    <col min="12788" max="12788" width="2.875" customWidth="1"/>
    <col min="12789" max="12789" width="8.125" customWidth="1"/>
    <col min="12790" max="12790" width="8.75" customWidth="1"/>
    <col min="12791" max="12791" width="11" customWidth="1"/>
    <col min="12792" max="12792" width="2.875" customWidth="1"/>
    <col min="12793" max="12793" width="77.625" customWidth="1"/>
    <col min="12794" max="12794" width="20.875" customWidth="1"/>
    <col min="13044" max="13044" width="2.875" customWidth="1"/>
    <col min="13045" max="13045" width="8.125" customWidth="1"/>
    <col min="13046" max="13046" width="8.75" customWidth="1"/>
    <col min="13047" max="13047" width="11" customWidth="1"/>
    <col min="13048" max="13048" width="2.875" customWidth="1"/>
    <col min="13049" max="13049" width="77.625" customWidth="1"/>
    <col min="13050" max="13050" width="20.875" customWidth="1"/>
    <col min="13300" max="13300" width="2.875" customWidth="1"/>
    <col min="13301" max="13301" width="8.125" customWidth="1"/>
    <col min="13302" max="13302" width="8.75" customWidth="1"/>
    <col min="13303" max="13303" width="11" customWidth="1"/>
    <col min="13304" max="13304" width="2.875" customWidth="1"/>
    <col min="13305" max="13305" width="77.625" customWidth="1"/>
    <col min="13306" max="13306" width="20.875" customWidth="1"/>
    <col min="13556" max="13556" width="2.875" customWidth="1"/>
    <col min="13557" max="13557" width="8.125" customWidth="1"/>
    <col min="13558" max="13558" width="8.75" customWidth="1"/>
    <col min="13559" max="13559" width="11" customWidth="1"/>
    <col min="13560" max="13560" width="2.875" customWidth="1"/>
    <col min="13561" max="13561" width="77.625" customWidth="1"/>
    <col min="13562" max="13562" width="20.875" customWidth="1"/>
    <col min="13812" max="13812" width="2.875" customWidth="1"/>
    <col min="13813" max="13813" width="8.125" customWidth="1"/>
    <col min="13814" max="13814" width="8.75" customWidth="1"/>
    <col min="13815" max="13815" width="11" customWidth="1"/>
    <col min="13816" max="13816" width="2.875" customWidth="1"/>
    <col min="13817" max="13817" width="77.625" customWidth="1"/>
    <col min="13818" max="13818" width="20.875" customWidth="1"/>
    <col min="14068" max="14068" width="2.875" customWidth="1"/>
    <col min="14069" max="14069" width="8.125" customWidth="1"/>
    <col min="14070" max="14070" width="8.75" customWidth="1"/>
    <col min="14071" max="14071" width="11" customWidth="1"/>
    <col min="14072" max="14072" width="2.875" customWidth="1"/>
    <col min="14073" max="14073" width="77.625" customWidth="1"/>
    <col min="14074" max="14074" width="20.875" customWidth="1"/>
    <col min="14324" max="14324" width="2.875" customWidth="1"/>
    <col min="14325" max="14325" width="8.125" customWidth="1"/>
    <col min="14326" max="14326" width="8.75" customWidth="1"/>
    <col min="14327" max="14327" width="11" customWidth="1"/>
    <col min="14328" max="14328" width="2.875" customWidth="1"/>
    <col min="14329" max="14329" width="77.625" customWidth="1"/>
    <col min="14330" max="14330" width="20.875" customWidth="1"/>
    <col min="14580" max="14580" width="2.875" customWidth="1"/>
    <col min="14581" max="14581" width="8.125" customWidth="1"/>
    <col min="14582" max="14582" width="8.75" customWidth="1"/>
    <col min="14583" max="14583" width="11" customWidth="1"/>
    <col min="14584" max="14584" width="2.875" customWidth="1"/>
    <col min="14585" max="14585" width="77.625" customWidth="1"/>
    <col min="14586" max="14586" width="20.875" customWidth="1"/>
    <col min="14836" max="14836" width="2.875" customWidth="1"/>
    <col min="14837" max="14837" width="8.125" customWidth="1"/>
    <col min="14838" max="14838" width="8.75" customWidth="1"/>
    <col min="14839" max="14839" width="11" customWidth="1"/>
    <col min="14840" max="14840" width="2.875" customWidth="1"/>
    <col min="14841" max="14841" width="77.625" customWidth="1"/>
    <col min="14842" max="14842" width="20.875" customWidth="1"/>
    <col min="15092" max="15092" width="2.875" customWidth="1"/>
    <col min="15093" max="15093" width="8.125" customWidth="1"/>
    <col min="15094" max="15094" width="8.75" customWidth="1"/>
    <col min="15095" max="15095" width="11" customWidth="1"/>
    <col min="15096" max="15096" width="2.875" customWidth="1"/>
    <col min="15097" max="15097" width="77.625" customWidth="1"/>
    <col min="15098" max="15098" width="20.875" customWidth="1"/>
    <col min="15348" max="15348" width="2.875" customWidth="1"/>
    <col min="15349" max="15349" width="8.125" customWidth="1"/>
    <col min="15350" max="15350" width="8.75" customWidth="1"/>
    <col min="15351" max="15351" width="11" customWidth="1"/>
    <col min="15352" max="15352" width="2.875" customWidth="1"/>
    <col min="15353" max="15353" width="77.625" customWidth="1"/>
    <col min="15354" max="15354" width="20.875" customWidth="1"/>
    <col min="15604" max="15604" width="2.875" customWidth="1"/>
    <col min="15605" max="15605" width="8.125" customWidth="1"/>
    <col min="15606" max="15606" width="8.75" customWidth="1"/>
    <col min="15607" max="15607" width="11" customWidth="1"/>
    <col min="15608" max="15608" width="2.875" customWidth="1"/>
    <col min="15609" max="15609" width="77.625" customWidth="1"/>
    <col min="15610" max="15610" width="20.875" customWidth="1"/>
    <col min="15860" max="15860" width="2.875" customWidth="1"/>
    <col min="15861" max="15861" width="8.125" customWidth="1"/>
    <col min="15862" max="15862" width="8.75" customWidth="1"/>
    <col min="15863" max="15863" width="11" customWidth="1"/>
    <col min="15864" max="15864" width="2.875" customWidth="1"/>
    <col min="15865" max="15865" width="77.625" customWidth="1"/>
    <col min="15866" max="15866" width="20.875" customWidth="1"/>
    <col min="16116" max="16116" width="2.875" customWidth="1"/>
    <col min="16117" max="16117" width="8.125" customWidth="1"/>
    <col min="16118" max="16118" width="8.75" customWidth="1"/>
    <col min="16119" max="16119" width="11" customWidth="1"/>
    <col min="16120" max="16120" width="2.875" customWidth="1"/>
    <col min="16121" max="16121" width="77.625" customWidth="1"/>
    <col min="16122" max="16122" width="20.875" customWidth="1"/>
  </cols>
  <sheetData>
    <row r="1" spans="2:18" ht="22.5" customHeight="1" x14ac:dyDescent="0.4">
      <c r="B1" s="34" t="s">
        <v>0</v>
      </c>
      <c r="C1" s="35"/>
      <c r="D1" s="36"/>
      <c r="E1" s="36"/>
      <c r="F1" s="36"/>
      <c r="G1" s="35"/>
      <c r="H1" s="148"/>
      <c r="I1" s="148"/>
      <c r="J1" s="35"/>
      <c r="K1" s="35"/>
      <c r="L1" s="35"/>
      <c r="M1" s="250"/>
      <c r="N1" s="35"/>
      <c r="O1" s="35"/>
      <c r="P1" s="35"/>
      <c r="Q1" s="347"/>
      <c r="R1" s="587"/>
    </row>
    <row r="2" spans="2:18" ht="22.5" customHeight="1" x14ac:dyDescent="0.4">
      <c r="B2" s="34" t="s">
        <v>744</v>
      </c>
      <c r="C2" s="35"/>
      <c r="D2" s="36"/>
      <c r="E2" s="36"/>
      <c r="F2" s="36"/>
      <c r="G2" s="35"/>
      <c r="H2" s="148"/>
      <c r="I2" s="148"/>
      <c r="J2" s="35"/>
      <c r="K2" s="35"/>
      <c r="L2" s="148"/>
      <c r="M2" s="250"/>
      <c r="N2" s="35"/>
      <c r="O2" s="35"/>
      <c r="P2" s="35"/>
      <c r="Q2" s="347"/>
      <c r="R2" s="587"/>
    </row>
    <row r="3" spans="2:18" ht="22.5" customHeight="1" x14ac:dyDescent="0.4">
      <c r="B3" s="34" t="s">
        <v>745</v>
      </c>
      <c r="C3" s="35"/>
      <c r="D3" s="36"/>
      <c r="E3" s="36"/>
      <c r="F3" s="36"/>
      <c r="G3" s="35"/>
      <c r="H3" s="148"/>
      <c r="I3" s="148"/>
      <c r="J3" s="35"/>
      <c r="K3" s="35"/>
      <c r="L3" s="35"/>
      <c r="M3" s="250"/>
      <c r="N3" s="35"/>
      <c r="O3" s="35"/>
      <c r="P3" s="35"/>
      <c r="Q3" s="347"/>
      <c r="R3" s="587"/>
    </row>
    <row r="4" spans="2:18" ht="22.5" customHeight="1" x14ac:dyDescent="0.4">
      <c r="B4" s="34"/>
      <c r="C4" s="35"/>
      <c r="D4" s="36"/>
      <c r="E4" s="36"/>
      <c r="F4" s="36"/>
      <c r="G4" s="35"/>
      <c r="H4" s="148"/>
      <c r="I4" s="148"/>
      <c r="J4" s="35"/>
      <c r="K4" s="35"/>
      <c r="L4" s="35"/>
      <c r="M4" s="250"/>
      <c r="N4" s="35"/>
      <c r="O4" s="35"/>
      <c r="P4" s="35"/>
      <c r="Q4" s="347"/>
      <c r="R4" s="587"/>
    </row>
    <row r="5" spans="2:18" s="38" customFormat="1" ht="5.25" customHeight="1" thickBot="1" x14ac:dyDescent="0.25">
      <c r="B5" s="37"/>
      <c r="C5" s="37"/>
      <c r="D5" s="37"/>
      <c r="E5" s="37"/>
      <c r="F5" s="37"/>
      <c r="G5" s="37"/>
      <c r="H5" s="149"/>
      <c r="I5" s="149"/>
      <c r="M5" s="251"/>
      <c r="Q5" s="348"/>
      <c r="R5" s="527"/>
    </row>
    <row r="6" spans="2:18" s="41" customFormat="1" ht="24.75" customHeight="1" thickTop="1" thickBot="1" x14ac:dyDescent="0.25">
      <c r="B6" s="39"/>
      <c r="C6" s="39"/>
      <c r="D6" s="39"/>
      <c r="E6" s="39"/>
      <c r="F6" s="39"/>
      <c r="G6" s="39"/>
      <c r="H6" s="812" t="s">
        <v>4</v>
      </c>
      <c r="I6" s="812"/>
      <c r="J6" s="812"/>
      <c r="K6" s="812"/>
      <c r="L6" s="812"/>
      <c r="M6" s="404"/>
      <c r="N6" s="272" t="s">
        <v>5</v>
      </c>
      <c r="O6" s="272"/>
      <c r="P6" s="272" t="s">
        <v>6</v>
      </c>
      <c r="Q6" s="404" t="s">
        <v>634</v>
      </c>
      <c r="R6" s="530"/>
    </row>
    <row r="7" spans="2:18" s="43" customFormat="1" ht="8.25" customHeight="1" thickTop="1" x14ac:dyDescent="0.2">
      <c r="B7" s="42"/>
      <c r="C7" s="42"/>
      <c r="D7" s="42"/>
      <c r="E7" s="42"/>
      <c r="F7" s="42"/>
      <c r="G7" s="42"/>
      <c r="H7" s="150"/>
      <c r="I7" s="150"/>
      <c r="M7" s="252"/>
      <c r="Q7" s="349"/>
      <c r="R7" s="466"/>
    </row>
    <row r="8" spans="2:18" s="744" customFormat="1" ht="36.75" customHeight="1" thickBot="1" x14ac:dyDescent="0.35">
      <c r="B8" s="269"/>
      <c r="C8" s="889" t="s">
        <v>7</v>
      </c>
      <c r="D8" s="889"/>
      <c r="E8" s="889"/>
      <c r="F8" s="889"/>
      <c r="G8" s="889"/>
      <c r="H8" s="740" t="s">
        <v>746</v>
      </c>
      <c r="I8" s="740" t="s">
        <v>747</v>
      </c>
      <c r="J8" s="745" t="s">
        <v>748</v>
      </c>
      <c r="K8" s="741"/>
      <c r="L8" s="740" t="e">
        <f>H8-365-1</f>
        <v>#VALUE!</v>
      </c>
      <c r="M8" s="740">
        <v>45351</v>
      </c>
      <c r="N8" s="888" t="s">
        <v>749</v>
      </c>
      <c r="O8" s="888"/>
      <c r="P8" s="888"/>
      <c r="Q8" s="742"/>
      <c r="R8" s="743"/>
    </row>
    <row r="9" spans="2:18" s="43" customFormat="1" ht="20.25" x14ac:dyDescent="0.2">
      <c r="B9" s="42"/>
      <c r="C9" s="42"/>
      <c r="D9" s="46" t="s">
        <v>13</v>
      </c>
      <c r="E9" s="46"/>
      <c r="F9" s="46"/>
      <c r="G9" s="42"/>
      <c r="H9" s="159">
        <v>787392</v>
      </c>
      <c r="I9" s="159">
        <v>505557</v>
      </c>
      <c r="J9" s="159">
        <v>515246.9</v>
      </c>
      <c r="K9" s="159"/>
      <c r="L9" s="159">
        <v>568663.27</v>
      </c>
      <c r="M9" s="159">
        <v>107361.07</v>
      </c>
      <c r="N9" s="260">
        <f>H9-M9</f>
        <v>680030.92999999993</v>
      </c>
      <c r="O9" s="260">
        <f>J9-I9</f>
        <v>9689.9000000000233</v>
      </c>
      <c r="P9" s="675">
        <f>(J9-I9)/I9</f>
        <v>1.9166780402605488E-2</v>
      </c>
      <c r="Q9" s="674"/>
      <c r="R9" s="466"/>
    </row>
    <row r="10" spans="2:18" s="43" customFormat="1" ht="20.25" x14ac:dyDescent="0.2">
      <c r="B10" s="42"/>
      <c r="C10" s="42"/>
      <c r="D10" s="46" t="s">
        <v>14</v>
      </c>
      <c r="E10" s="46"/>
      <c r="F10" s="46"/>
      <c r="G10" s="42"/>
      <c r="H10" s="150">
        <v>115000</v>
      </c>
      <c r="I10" s="150">
        <v>155419</v>
      </c>
      <c r="J10" s="150">
        <v>187799</v>
      </c>
      <c r="K10" s="150"/>
      <c r="L10" s="150">
        <v>107813</v>
      </c>
      <c r="M10" s="150">
        <v>21896.39</v>
      </c>
      <c r="N10" s="181">
        <f>H10-M10</f>
        <v>93103.61</v>
      </c>
      <c r="O10" s="181">
        <f>J10-I10</f>
        <v>32380</v>
      </c>
      <c r="P10" s="675">
        <f t="shared" ref="P10:P29" si="0">(J10-I10)/I10</f>
        <v>0.20834003564557743</v>
      </c>
      <c r="Q10" s="674"/>
      <c r="R10" s="466"/>
    </row>
    <row r="11" spans="2:18" s="43" customFormat="1" ht="20.25" x14ac:dyDescent="0.2">
      <c r="B11" s="42"/>
      <c r="C11" s="42"/>
      <c r="D11" s="46" t="s">
        <v>15</v>
      </c>
      <c r="E11" s="46"/>
      <c r="F11" s="46"/>
      <c r="G11" s="42"/>
      <c r="H11" s="150">
        <v>42500</v>
      </c>
      <c r="I11" s="150">
        <v>27167</v>
      </c>
      <c r="J11" s="150">
        <v>39117.93</v>
      </c>
      <c r="K11" s="150"/>
      <c r="L11" s="150">
        <f>35411+939</f>
        <v>36350</v>
      </c>
      <c r="M11" s="150">
        <v>5698.68</v>
      </c>
      <c r="N11" s="181">
        <f>H11-M11</f>
        <v>36801.32</v>
      </c>
      <c r="O11" s="181">
        <f t="shared" ref="O11:O27" si="1">J11-I11</f>
        <v>11950.93</v>
      </c>
      <c r="P11" s="675">
        <f t="shared" si="0"/>
        <v>0.43990613612102919</v>
      </c>
      <c r="Q11" s="674"/>
      <c r="R11" s="466"/>
    </row>
    <row r="12" spans="2:18" s="43" customFormat="1" ht="20.25" x14ac:dyDescent="0.2">
      <c r="B12" s="42"/>
      <c r="C12" s="42"/>
      <c r="D12" s="46" t="s">
        <v>644</v>
      </c>
      <c r="E12" s="46"/>
      <c r="F12" s="46"/>
      <c r="G12" s="42"/>
      <c r="H12" s="150">
        <v>0</v>
      </c>
      <c r="J12" s="150">
        <v>5000</v>
      </c>
      <c r="K12" s="150"/>
      <c r="L12" s="150">
        <v>0</v>
      </c>
      <c r="M12" s="150"/>
      <c r="N12" s="181">
        <f>H12-M12</f>
        <v>0</v>
      </c>
      <c r="O12" s="181">
        <f t="shared" si="1"/>
        <v>5000</v>
      </c>
      <c r="P12" s="675"/>
      <c r="Q12" s="674"/>
      <c r="R12" s="466"/>
    </row>
    <row r="13" spans="2:18" s="43" customFormat="1" ht="20.25" x14ac:dyDescent="0.2">
      <c r="B13" s="42"/>
      <c r="C13" s="42"/>
      <c r="D13" s="46" t="s">
        <v>16</v>
      </c>
      <c r="E13" s="46"/>
      <c r="F13" s="46"/>
      <c r="G13" s="42"/>
      <c r="H13" s="150"/>
      <c r="J13" s="150"/>
      <c r="K13" s="150"/>
      <c r="L13" s="150"/>
      <c r="M13" s="150"/>
      <c r="N13" s="181"/>
      <c r="O13" s="181">
        <f t="shared" si="1"/>
        <v>0</v>
      </c>
      <c r="P13" s="675"/>
      <c r="Q13" s="674"/>
      <c r="R13" s="466"/>
    </row>
    <row r="14" spans="2:18" s="43" customFormat="1" ht="20.25" x14ac:dyDescent="0.2">
      <c r="B14" s="42"/>
      <c r="C14" s="42"/>
      <c r="E14" s="46" t="s">
        <v>17</v>
      </c>
      <c r="F14" s="46"/>
      <c r="G14" s="42"/>
      <c r="H14" s="150">
        <v>214748</v>
      </c>
      <c r="I14" s="150">
        <v>214462.02</v>
      </c>
      <c r="J14" s="150">
        <v>217141.06</v>
      </c>
      <c r="K14" s="150"/>
      <c r="L14" s="150">
        <v>176537.37</v>
      </c>
      <c r="M14" s="150">
        <v>33435</v>
      </c>
      <c r="N14" s="181">
        <f t="shared" ref="N14:N24" si="2">H14-M14</f>
        <v>181313</v>
      </c>
      <c r="O14" s="181">
        <f t="shared" si="1"/>
        <v>2679.0400000000081</v>
      </c>
      <c r="P14" s="675">
        <f t="shared" si="0"/>
        <v>1.2491908823762866E-2</v>
      </c>
      <c r="Q14" s="674"/>
      <c r="R14" s="466"/>
    </row>
    <row r="15" spans="2:18" s="43" customFormat="1" ht="20.25" x14ac:dyDescent="0.2">
      <c r="B15" s="42"/>
      <c r="C15" s="42"/>
      <c r="E15" s="46" t="s">
        <v>18</v>
      </c>
      <c r="F15" s="46"/>
      <c r="G15" s="42"/>
      <c r="H15" s="150">
        <v>18000</v>
      </c>
      <c r="I15" s="150">
        <v>18000</v>
      </c>
      <c r="J15" s="150">
        <v>18000</v>
      </c>
      <c r="K15" s="150"/>
      <c r="L15" s="150">
        <f>H15</f>
        <v>18000</v>
      </c>
      <c r="M15" s="150">
        <v>3000</v>
      </c>
      <c r="N15" s="181">
        <f t="shared" si="2"/>
        <v>15000</v>
      </c>
      <c r="O15" s="181">
        <f t="shared" si="1"/>
        <v>0</v>
      </c>
      <c r="P15" s="675">
        <f t="shared" si="0"/>
        <v>0</v>
      </c>
      <c r="Q15" s="674"/>
      <c r="R15" s="466"/>
    </row>
    <row r="16" spans="2:18" s="43" customFormat="1" ht="20.25" x14ac:dyDescent="0.2">
      <c r="B16" s="42"/>
      <c r="C16" s="42"/>
      <c r="E16" s="46" t="s">
        <v>19</v>
      </c>
      <c r="F16" s="46"/>
      <c r="G16" s="42"/>
      <c r="H16" s="150">
        <v>0</v>
      </c>
      <c r="I16" s="150">
        <v>5000</v>
      </c>
      <c r="J16" s="150">
        <v>5000</v>
      </c>
      <c r="K16" s="150"/>
      <c r="L16" s="150">
        <v>29596</v>
      </c>
      <c r="M16" s="150">
        <v>0</v>
      </c>
      <c r="N16" s="181">
        <f t="shared" si="2"/>
        <v>0</v>
      </c>
      <c r="O16" s="181">
        <f t="shared" si="1"/>
        <v>0</v>
      </c>
      <c r="P16" s="675">
        <f t="shared" si="0"/>
        <v>0</v>
      </c>
      <c r="Q16" s="674"/>
      <c r="R16" s="466"/>
    </row>
    <row r="17" spans="2:18" s="43" customFormat="1" ht="20.25" x14ac:dyDescent="0.2">
      <c r="B17" s="42"/>
      <c r="C17" s="42"/>
      <c r="D17" s="46" t="s">
        <v>105</v>
      </c>
      <c r="E17" s="46"/>
      <c r="F17" s="46"/>
      <c r="G17" s="42"/>
      <c r="H17" s="334">
        <v>20000</v>
      </c>
      <c r="I17" s="150">
        <v>19611</v>
      </c>
      <c r="J17" s="150">
        <v>20091.96</v>
      </c>
      <c r="K17" s="150"/>
      <c r="L17" s="150">
        <v>19841</v>
      </c>
      <c r="M17" s="150">
        <v>2714</v>
      </c>
      <c r="N17" s="181">
        <f t="shared" si="2"/>
        <v>17286</v>
      </c>
      <c r="O17" s="181">
        <f t="shared" si="1"/>
        <v>480.95999999999913</v>
      </c>
      <c r="P17" s="675">
        <f t="shared" si="0"/>
        <v>2.4525011473152777E-2</v>
      </c>
      <c r="Q17" s="674"/>
      <c r="R17" s="466"/>
    </row>
    <row r="18" spans="2:18" s="43" customFormat="1" ht="20.25" x14ac:dyDescent="0.2">
      <c r="B18" s="42"/>
      <c r="C18" s="42"/>
      <c r="D18" s="46" t="s">
        <v>653</v>
      </c>
      <c r="E18" s="46"/>
      <c r="F18" s="46"/>
      <c r="G18" s="42"/>
      <c r="H18" s="150">
        <v>0</v>
      </c>
      <c r="I18" s="150"/>
      <c r="J18" s="150">
        <v>1798</v>
      </c>
      <c r="K18" s="150"/>
      <c r="L18" s="150">
        <v>373</v>
      </c>
      <c r="M18" s="150">
        <v>50</v>
      </c>
      <c r="N18" s="181">
        <f t="shared" si="2"/>
        <v>-50</v>
      </c>
      <c r="O18" s="181">
        <f t="shared" si="1"/>
        <v>1798</v>
      </c>
      <c r="P18" s="675"/>
      <c r="Q18" s="674"/>
      <c r="R18" s="466"/>
    </row>
    <row r="19" spans="2:18" s="43" customFormat="1" ht="20.25" x14ac:dyDescent="0.2">
      <c r="B19" s="42"/>
      <c r="C19" s="42"/>
      <c r="D19" s="46" t="s">
        <v>655</v>
      </c>
      <c r="E19" s="46"/>
      <c r="F19" s="46"/>
      <c r="G19" s="42"/>
      <c r="H19" s="150">
        <v>10000</v>
      </c>
      <c r="I19" s="150">
        <v>26952</v>
      </c>
      <c r="J19" s="150">
        <v>27123.62</v>
      </c>
      <c r="K19" s="150"/>
      <c r="L19" s="150">
        <v>20568</v>
      </c>
      <c r="M19" s="150">
        <v>15586.98</v>
      </c>
      <c r="N19" s="181">
        <f t="shared" si="2"/>
        <v>-5586.98</v>
      </c>
      <c r="O19" s="181">
        <f t="shared" si="1"/>
        <v>171.61999999999898</v>
      </c>
      <c r="P19" s="675">
        <f t="shared" si="0"/>
        <v>6.3676165034134381E-3</v>
      </c>
      <c r="Q19" s="674"/>
      <c r="R19" s="466"/>
    </row>
    <row r="20" spans="2:18" s="43" customFormat="1" ht="20.25" x14ac:dyDescent="0.2">
      <c r="B20" s="42"/>
      <c r="C20" s="42"/>
      <c r="D20" s="46" t="s">
        <v>21</v>
      </c>
      <c r="E20" s="46"/>
      <c r="F20" s="46"/>
      <c r="G20" s="42"/>
      <c r="H20" s="150">
        <v>650</v>
      </c>
      <c r="I20" s="150">
        <v>5095</v>
      </c>
      <c r="J20" s="150">
        <v>6424.91</v>
      </c>
      <c r="K20" s="150"/>
      <c r="L20" s="150">
        <v>406.48</v>
      </c>
      <c r="M20" s="150">
        <v>125.05</v>
      </c>
      <c r="N20" s="181">
        <f t="shared" si="2"/>
        <v>524.95000000000005</v>
      </c>
      <c r="O20" s="181">
        <f t="shared" si="1"/>
        <v>1329.9099999999999</v>
      </c>
      <c r="P20" s="675">
        <f t="shared" si="0"/>
        <v>0.26102257114818445</v>
      </c>
      <c r="Q20" s="674"/>
      <c r="R20" s="466"/>
    </row>
    <row r="21" spans="2:18" s="43" customFormat="1" ht="20.25" x14ac:dyDescent="0.2">
      <c r="B21" s="42"/>
      <c r="C21" s="42"/>
      <c r="D21" s="46" t="s">
        <v>22</v>
      </c>
      <c r="E21" s="46"/>
      <c r="F21" s="46"/>
      <c r="G21" s="42"/>
      <c r="H21" s="150">
        <v>1200</v>
      </c>
      <c r="I21" s="150">
        <v>5598</v>
      </c>
      <c r="J21" s="150">
        <v>33020.949999999997</v>
      </c>
      <c r="K21" s="150"/>
      <c r="L21" s="150">
        <v>3308</v>
      </c>
      <c r="M21" s="150">
        <v>447.13</v>
      </c>
      <c r="N21" s="181">
        <f t="shared" si="2"/>
        <v>752.87</v>
      </c>
      <c r="O21" s="181">
        <f t="shared" si="1"/>
        <v>27422.949999999997</v>
      </c>
      <c r="P21" s="675">
        <f t="shared" si="0"/>
        <v>4.8987048946052152</v>
      </c>
      <c r="Q21" s="674"/>
      <c r="R21" s="466"/>
    </row>
    <row r="22" spans="2:18" s="43" customFormat="1" ht="20.25" x14ac:dyDescent="0.2">
      <c r="B22" s="42"/>
      <c r="C22" s="42"/>
      <c r="D22" s="46" t="s">
        <v>665</v>
      </c>
      <c r="E22" s="46"/>
      <c r="F22" s="46"/>
      <c r="G22" s="42"/>
      <c r="H22" s="150">
        <v>3000</v>
      </c>
      <c r="I22" s="150">
        <v>35619</v>
      </c>
      <c r="J22" s="150">
        <v>18047.73</v>
      </c>
      <c r="K22" s="150"/>
      <c r="L22" s="150">
        <v>272.41000000000003</v>
      </c>
      <c r="M22" s="150">
        <v>14369.43</v>
      </c>
      <c r="N22" s="181">
        <f t="shared" si="2"/>
        <v>-11369.43</v>
      </c>
      <c r="O22" s="181">
        <f t="shared" si="1"/>
        <v>-17571.27</v>
      </c>
      <c r="P22" s="675">
        <f t="shared" si="0"/>
        <v>-0.49331171565737386</v>
      </c>
      <c r="Q22" s="674"/>
      <c r="R22" s="466"/>
    </row>
    <row r="23" spans="2:18" s="43" customFormat="1" ht="20.25" x14ac:dyDescent="0.2">
      <c r="B23" s="42"/>
      <c r="C23" s="42"/>
      <c r="D23" s="46" t="s">
        <v>750</v>
      </c>
      <c r="E23" s="46"/>
      <c r="F23" s="46"/>
      <c r="G23" s="42"/>
      <c r="H23" s="150">
        <v>370038</v>
      </c>
      <c r="I23" s="150">
        <v>347218</v>
      </c>
      <c r="J23" s="150">
        <v>378467.94</v>
      </c>
      <c r="K23" s="150"/>
      <c r="L23" s="150">
        <v>138836.76</v>
      </c>
      <c r="M23" s="150">
        <v>55484.05</v>
      </c>
      <c r="N23" s="181">
        <f t="shared" si="2"/>
        <v>314553.95</v>
      </c>
      <c r="O23" s="181">
        <f t="shared" si="1"/>
        <v>31249.940000000002</v>
      </c>
      <c r="P23" s="675">
        <f t="shared" si="0"/>
        <v>9.0000921611206805E-2</v>
      </c>
      <c r="Q23" s="674"/>
      <c r="R23" s="466"/>
    </row>
    <row r="24" spans="2:18" s="43" customFormat="1" ht="20.25" x14ac:dyDescent="0.2">
      <c r="B24" s="42"/>
      <c r="C24" s="42"/>
      <c r="D24" s="46" t="s">
        <v>662</v>
      </c>
      <c r="E24" s="46"/>
      <c r="F24" s="46"/>
      <c r="G24" s="42"/>
      <c r="H24" s="150">
        <v>17250</v>
      </c>
      <c r="I24" s="150">
        <v>7844</v>
      </c>
      <c r="J24" s="150">
        <v>9209.89</v>
      </c>
      <c r="K24" s="150"/>
      <c r="L24" s="150">
        <v>9773</v>
      </c>
      <c r="M24" s="150">
        <v>655.09</v>
      </c>
      <c r="N24" s="181">
        <f t="shared" si="2"/>
        <v>16594.91</v>
      </c>
      <c r="O24" s="181">
        <f t="shared" si="1"/>
        <v>1365.8899999999994</v>
      </c>
      <c r="P24" s="675">
        <f t="shared" si="0"/>
        <v>0.17413182049974496</v>
      </c>
      <c r="Q24" s="674"/>
      <c r="R24" s="466"/>
    </row>
    <row r="25" spans="2:18" s="43" customFormat="1" ht="20.25" x14ac:dyDescent="0.2">
      <c r="B25" s="42"/>
      <c r="C25" s="42"/>
      <c r="D25" s="46" t="s">
        <v>16</v>
      </c>
      <c r="E25" s="46"/>
      <c r="F25" s="46"/>
      <c r="G25" s="42"/>
      <c r="H25" s="150">
        <v>21000</v>
      </c>
      <c r="I25" s="150">
        <v>21000</v>
      </c>
      <c r="J25" s="150">
        <v>21000</v>
      </c>
      <c r="K25" s="150"/>
      <c r="L25" s="150"/>
      <c r="M25" s="150"/>
      <c r="N25" s="181"/>
      <c r="O25" s="181">
        <f t="shared" si="1"/>
        <v>0</v>
      </c>
      <c r="P25" s="675">
        <f t="shared" si="0"/>
        <v>0</v>
      </c>
      <c r="Q25" s="674"/>
      <c r="R25" s="466"/>
    </row>
    <row r="26" spans="2:18" s="43" customFormat="1" ht="20.25" x14ac:dyDescent="0.2">
      <c r="B26" s="42"/>
      <c r="C26" s="42"/>
      <c r="D26" s="46" t="s">
        <v>31</v>
      </c>
      <c r="E26" s="46"/>
      <c r="F26" s="46"/>
      <c r="G26" s="42"/>
      <c r="H26" s="150">
        <v>54000</v>
      </c>
      <c r="I26" s="150">
        <v>52000</v>
      </c>
      <c r="J26" s="150">
        <v>52000</v>
      </c>
      <c r="K26" s="150"/>
      <c r="L26" s="150"/>
      <c r="M26" s="150"/>
      <c r="N26" s="181"/>
      <c r="O26" s="181">
        <f t="shared" si="1"/>
        <v>0</v>
      </c>
      <c r="P26" s="675">
        <f t="shared" si="0"/>
        <v>0</v>
      </c>
      <c r="Q26" s="674"/>
      <c r="R26" s="466"/>
    </row>
    <row r="27" spans="2:18" s="43" customFormat="1" ht="20.25" x14ac:dyDescent="0.2">
      <c r="B27" s="42"/>
      <c r="C27" s="42"/>
      <c r="D27" s="46" t="s">
        <v>32</v>
      </c>
      <c r="E27" s="46"/>
      <c r="F27" s="46"/>
      <c r="G27" s="42"/>
      <c r="H27" s="150">
        <v>18537</v>
      </c>
      <c r="I27" s="150">
        <v>13011</v>
      </c>
      <c r="J27" s="150">
        <f>8305+1320</f>
        <v>9625</v>
      </c>
      <c r="K27" s="150"/>
      <c r="L27" s="150"/>
      <c r="M27" s="150"/>
      <c r="N27" s="181"/>
      <c r="O27" s="181">
        <f t="shared" si="1"/>
        <v>-3386</v>
      </c>
      <c r="P27" s="675">
        <f t="shared" si="0"/>
        <v>-0.26024133425562984</v>
      </c>
      <c r="Q27" s="674"/>
      <c r="R27" s="466"/>
    </row>
    <row r="28" spans="2:18" s="43" customFormat="1" ht="21" thickBot="1" x14ac:dyDescent="0.25">
      <c r="B28" s="42"/>
      <c r="C28" s="42"/>
      <c r="D28" s="46" t="s">
        <v>29</v>
      </c>
      <c r="E28" s="46"/>
      <c r="F28" s="46"/>
      <c r="G28" s="42"/>
      <c r="H28" s="157">
        <v>52740</v>
      </c>
      <c r="I28" s="157">
        <v>52740</v>
      </c>
      <c r="J28" s="157">
        <v>52740</v>
      </c>
      <c r="K28" s="150"/>
      <c r="L28" s="157">
        <f>H28</f>
        <v>52740</v>
      </c>
      <c r="M28" s="157">
        <v>8790</v>
      </c>
      <c r="N28" s="157">
        <f>H28-M28</f>
        <v>43950</v>
      </c>
      <c r="O28" s="259">
        <f t="shared" ref="O28" si="3">I28-J28</f>
        <v>0</v>
      </c>
      <c r="P28" s="677">
        <f t="shared" si="0"/>
        <v>0</v>
      </c>
      <c r="Q28" s="674"/>
      <c r="R28" s="466"/>
    </row>
    <row r="29" spans="2:18" s="43" customFormat="1" ht="20.25" x14ac:dyDescent="0.2">
      <c r="B29" s="42"/>
      <c r="C29" s="42"/>
      <c r="D29" s="46"/>
      <c r="E29" s="42" t="s">
        <v>33</v>
      </c>
      <c r="F29" s="46"/>
      <c r="G29" s="42"/>
      <c r="H29" s="150">
        <f>SUM(H9:H28)</f>
        <v>1746055</v>
      </c>
      <c r="I29" s="150">
        <f>SUM(I9:I28)</f>
        <v>1512293.02</v>
      </c>
      <c r="J29" s="150">
        <f>SUM(J9:J28)</f>
        <v>1616854.89</v>
      </c>
      <c r="K29" s="150"/>
      <c r="L29" s="150">
        <f>SUM(L9:L28)</f>
        <v>1183078.29</v>
      </c>
      <c r="M29" s="150">
        <f>SUM(M9:M28)</f>
        <v>269612.87</v>
      </c>
      <c r="N29" s="150">
        <f>H29-M29</f>
        <v>1476442.13</v>
      </c>
      <c r="O29" s="150">
        <f>J29-I29</f>
        <v>104561.86999999988</v>
      </c>
      <c r="P29" s="675">
        <f t="shared" si="0"/>
        <v>6.9141276602599069E-2</v>
      </c>
      <c r="Q29" s="674"/>
      <c r="R29" s="466"/>
    </row>
    <row r="30" spans="2:18" s="43" customFormat="1" ht="6" customHeight="1" x14ac:dyDescent="0.2">
      <c r="B30" s="42"/>
      <c r="C30" s="42"/>
      <c r="D30" s="46"/>
      <c r="E30" s="42"/>
      <c r="F30" s="46"/>
      <c r="G30" s="42"/>
      <c r="H30" s="150"/>
      <c r="I30" s="150"/>
      <c r="J30" s="150"/>
      <c r="K30" s="150"/>
      <c r="L30" s="150"/>
      <c r="M30" s="252"/>
      <c r="N30" s="264"/>
      <c r="O30" s="264"/>
      <c r="P30" s="338"/>
      <c r="Q30" s="674"/>
      <c r="R30" s="466"/>
    </row>
    <row r="31" spans="2:18" s="43" customFormat="1" ht="21" thickBot="1" x14ac:dyDescent="0.3">
      <c r="B31" s="42"/>
      <c r="C31" s="54" t="s">
        <v>34</v>
      </c>
      <c r="D31" s="54"/>
      <c r="E31" s="54"/>
      <c r="F31" s="54"/>
      <c r="G31" s="54"/>
      <c r="H31" s="157"/>
      <c r="I31" s="157"/>
      <c r="J31" s="157"/>
      <c r="L31" s="157"/>
      <c r="M31" s="266"/>
      <c r="N31" s="266"/>
      <c r="O31" s="266"/>
      <c r="P31" s="339"/>
      <c r="Q31" s="8"/>
      <c r="R31" s="466"/>
    </row>
    <row r="32" spans="2:18" s="43" customFormat="1" ht="20.25" x14ac:dyDescent="0.2">
      <c r="B32" s="42"/>
      <c r="C32" s="42"/>
      <c r="D32" s="46" t="s">
        <v>35</v>
      </c>
      <c r="E32" s="46"/>
      <c r="F32" s="46"/>
      <c r="G32" s="46"/>
      <c r="H32" s="150">
        <v>1094561</v>
      </c>
      <c r="I32" s="150">
        <v>909876</v>
      </c>
      <c r="J32" s="150">
        <v>911233.23</v>
      </c>
      <c r="K32" s="181"/>
      <c r="L32" s="150">
        <v>777947</v>
      </c>
      <c r="M32" s="150">
        <v>141371.62</v>
      </c>
      <c r="N32" s="181">
        <f>H32-M32</f>
        <v>953189.38</v>
      </c>
      <c r="O32" s="181">
        <f>J32-I32</f>
        <v>1357.2299999999814</v>
      </c>
      <c r="P32" s="675">
        <f>(J32-I32)/I32</f>
        <v>1.4916647982801848E-3</v>
      </c>
      <c r="Q32" s="674"/>
      <c r="R32" s="466"/>
    </row>
    <row r="33" spans="2:18" s="43" customFormat="1" ht="20.25" x14ac:dyDescent="0.2">
      <c r="B33" s="42"/>
      <c r="C33" s="42"/>
      <c r="D33" s="46" t="s">
        <v>36</v>
      </c>
      <c r="E33" s="46"/>
      <c r="F33" s="46"/>
      <c r="G33" s="46"/>
      <c r="H33" s="150">
        <v>222612</v>
      </c>
      <c r="I33" s="150">
        <v>208016</v>
      </c>
      <c r="J33" s="150">
        <v>211494.11</v>
      </c>
      <c r="K33" s="181"/>
      <c r="L33" s="150">
        <v>143772</v>
      </c>
      <c r="M33" s="150">
        <v>34051</v>
      </c>
      <c r="N33" s="181">
        <f>H33-M33</f>
        <v>188561</v>
      </c>
      <c r="O33" s="181">
        <f t="shared" ref="O33:O54" si="4">J33-I33</f>
        <v>3478.109999999986</v>
      </c>
      <c r="P33" s="675">
        <f t="shared" ref="P33:P34" si="5">(J33-I33)/I33</f>
        <v>1.6720396507960859E-2</v>
      </c>
      <c r="Q33" s="674"/>
      <c r="R33" s="466"/>
    </row>
    <row r="34" spans="2:18" s="43" customFormat="1" ht="20.25" x14ac:dyDescent="0.2">
      <c r="B34" s="42"/>
      <c r="C34" s="42"/>
      <c r="D34" s="46" t="s">
        <v>55</v>
      </c>
      <c r="E34" s="46"/>
      <c r="F34" s="46"/>
      <c r="G34" s="46"/>
      <c r="H34" s="150">
        <v>44702</v>
      </c>
      <c r="I34" s="150">
        <v>32909</v>
      </c>
      <c r="J34" s="150">
        <f>7233.4+20475.5</f>
        <v>27708.9</v>
      </c>
      <c r="K34" s="150"/>
      <c r="L34" s="150">
        <f>12954.59+52280</f>
        <v>65234.59</v>
      </c>
      <c r="M34" s="150">
        <f>2025+7500</f>
        <v>9525</v>
      </c>
      <c r="N34" s="181">
        <f>H34-M34</f>
        <v>35177</v>
      </c>
      <c r="O34" s="181">
        <f t="shared" si="4"/>
        <v>-5200.0999999999985</v>
      </c>
      <c r="P34" s="675">
        <f t="shared" si="5"/>
        <v>-0.15801452490200243</v>
      </c>
      <c r="Q34" s="674"/>
      <c r="R34" s="466"/>
    </row>
    <row r="35" spans="2:18" s="43" customFormat="1" ht="20.25" x14ac:dyDescent="0.2">
      <c r="B35" s="42"/>
      <c r="C35" s="42"/>
      <c r="D35" s="46" t="s">
        <v>46</v>
      </c>
      <c r="E35" s="46"/>
      <c r="F35" s="46"/>
      <c r="G35" s="46"/>
      <c r="H35" s="150">
        <v>23000</v>
      </c>
      <c r="I35" s="150">
        <v>26500</v>
      </c>
      <c r="J35" s="150">
        <v>24775</v>
      </c>
      <c r="K35" s="181"/>
      <c r="L35" s="150">
        <v>7175</v>
      </c>
      <c r="M35" s="150">
        <v>13500</v>
      </c>
      <c r="N35" s="181">
        <f>H35-M35</f>
        <v>9500</v>
      </c>
      <c r="O35" s="181">
        <f t="shared" si="4"/>
        <v>-1725</v>
      </c>
      <c r="P35" s="675">
        <f t="shared" ref="P35:P57" si="6">(J35-I35)/I35</f>
        <v>-6.5094339622641509E-2</v>
      </c>
      <c r="Q35" s="674"/>
      <c r="R35" s="466"/>
    </row>
    <row r="36" spans="2:18" s="43" customFormat="1" ht="20.25" x14ac:dyDescent="0.2">
      <c r="B36" s="42"/>
      <c r="C36" s="42"/>
      <c r="D36" s="46" t="s">
        <v>53</v>
      </c>
      <c r="E36" s="46"/>
      <c r="F36" s="46"/>
      <c r="G36" s="46"/>
      <c r="H36" s="150">
        <v>58875</v>
      </c>
      <c r="I36" s="150">
        <v>63501</v>
      </c>
      <c r="J36" s="150">
        <f>53776.59+2250-58.77</f>
        <v>55967.82</v>
      </c>
      <c r="K36" s="150"/>
      <c r="L36" s="150">
        <v>23914.75</v>
      </c>
      <c r="M36" s="150">
        <f>11159.71-47.98-22.29</f>
        <v>11089.439999999999</v>
      </c>
      <c r="N36" s="181">
        <f t="shared" ref="N36:N53" si="7">H36-M36</f>
        <v>47785.56</v>
      </c>
      <c r="O36" s="181">
        <f t="shared" si="4"/>
        <v>-7533.18</v>
      </c>
      <c r="P36" s="675">
        <f t="shared" si="6"/>
        <v>-0.11863088770255587</v>
      </c>
      <c r="Q36" s="674"/>
      <c r="R36" s="466"/>
    </row>
    <row r="37" spans="2:18" s="43" customFormat="1" ht="20.25" x14ac:dyDescent="0.2">
      <c r="B37" s="42"/>
      <c r="C37" s="42"/>
      <c r="D37" s="46" t="s">
        <v>45</v>
      </c>
      <c r="E37" s="46"/>
      <c r="F37" s="46"/>
      <c r="G37" s="46"/>
      <c r="H37" s="150">
        <v>1501</v>
      </c>
      <c r="I37" s="150">
        <v>1101</v>
      </c>
      <c r="J37" s="150">
        <v>1081.9000000000001</v>
      </c>
      <c r="K37" s="181"/>
      <c r="L37" s="150">
        <v>1065</v>
      </c>
      <c r="M37" s="150">
        <v>283</v>
      </c>
      <c r="N37" s="181">
        <f t="shared" si="7"/>
        <v>1218</v>
      </c>
      <c r="O37" s="181">
        <f t="shared" si="4"/>
        <v>-19.099999999999909</v>
      </c>
      <c r="P37" s="675">
        <f t="shared" si="6"/>
        <v>-1.7347865576748327E-2</v>
      </c>
      <c r="Q37" s="674"/>
      <c r="R37" s="466"/>
    </row>
    <row r="38" spans="2:18" s="43" customFormat="1" ht="20.25" x14ac:dyDescent="0.2">
      <c r="B38" s="42"/>
      <c r="C38" s="42"/>
      <c r="D38" s="46" t="s">
        <v>49</v>
      </c>
      <c r="E38" s="46"/>
      <c r="F38" s="46"/>
      <c r="G38" s="46"/>
      <c r="H38" s="150">
        <v>25000</v>
      </c>
      <c r="I38" s="150">
        <v>29444</v>
      </c>
      <c r="J38" s="150">
        <v>27058</v>
      </c>
      <c r="K38" s="150"/>
      <c r="L38" s="150">
        <v>19509</v>
      </c>
      <c r="M38" s="150">
        <v>4298</v>
      </c>
      <c r="N38" s="181">
        <f t="shared" si="7"/>
        <v>20702</v>
      </c>
      <c r="O38" s="181">
        <f t="shared" si="4"/>
        <v>-2386</v>
      </c>
      <c r="P38" s="675">
        <f t="shared" si="6"/>
        <v>-8.1035185436761303E-2</v>
      </c>
      <c r="Q38" s="674"/>
      <c r="R38" s="466"/>
    </row>
    <row r="39" spans="2:18" s="43" customFormat="1" ht="20.25" x14ac:dyDescent="0.2">
      <c r="B39" s="42"/>
      <c r="C39" s="42"/>
      <c r="D39" s="814" t="s">
        <v>47</v>
      </c>
      <c r="E39" s="814"/>
      <c r="F39" s="814"/>
      <c r="G39" s="814"/>
      <c r="H39" s="150"/>
      <c r="I39" s="150">
        <v>592</v>
      </c>
      <c r="J39" s="150">
        <v>651.5</v>
      </c>
      <c r="K39" s="181"/>
      <c r="L39" s="150">
        <v>409.5</v>
      </c>
      <c r="M39" s="150">
        <v>98</v>
      </c>
      <c r="N39" s="181">
        <f t="shared" si="7"/>
        <v>-98</v>
      </c>
      <c r="O39" s="181">
        <f t="shared" si="4"/>
        <v>59.5</v>
      </c>
      <c r="P39" s="675">
        <f t="shared" si="6"/>
        <v>0.10050675675675676</v>
      </c>
      <c r="Q39" s="674"/>
      <c r="R39" s="466"/>
    </row>
    <row r="40" spans="2:18" s="43" customFormat="1" ht="20.25" x14ac:dyDescent="0.2">
      <c r="B40" s="42"/>
      <c r="C40" s="42"/>
      <c r="D40" s="46" t="s">
        <v>43</v>
      </c>
      <c r="E40" s="46"/>
      <c r="F40" s="46"/>
      <c r="G40" s="46"/>
      <c r="H40" s="334">
        <v>42000</v>
      </c>
      <c r="I40" s="334">
        <v>28883</v>
      </c>
      <c r="J40" s="150">
        <f>16296+82+10057.7</f>
        <v>26435.7</v>
      </c>
      <c r="K40" s="181"/>
      <c r="L40" s="150">
        <f>29864+16343+5.56</f>
        <v>46212.56</v>
      </c>
      <c r="M40" s="150">
        <f>2541.52+1646.3</f>
        <v>4187.82</v>
      </c>
      <c r="N40" s="181">
        <f t="shared" si="7"/>
        <v>37812.18</v>
      </c>
      <c r="O40" s="181">
        <f t="shared" si="4"/>
        <v>-2447.2999999999993</v>
      </c>
      <c r="P40" s="675">
        <f t="shared" si="6"/>
        <v>-8.4731502960218794E-2</v>
      </c>
      <c r="Q40" s="674"/>
      <c r="R40" s="466"/>
    </row>
    <row r="41" spans="2:18" s="43" customFormat="1" ht="20.25" x14ac:dyDescent="0.2">
      <c r="B41" s="42"/>
      <c r="C41" s="42"/>
      <c r="D41" s="46" t="s">
        <v>48</v>
      </c>
      <c r="E41" s="46"/>
      <c r="F41" s="46"/>
      <c r="G41" s="46"/>
      <c r="H41" s="150">
        <v>29350</v>
      </c>
      <c r="I41" s="150">
        <v>27339</v>
      </c>
      <c r="J41" s="150">
        <v>26136</v>
      </c>
      <c r="K41" s="182"/>
      <c r="L41" s="150">
        <v>24851</v>
      </c>
      <c r="M41" s="150">
        <v>4102.96</v>
      </c>
      <c r="N41" s="181">
        <f t="shared" si="7"/>
        <v>25247.040000000001</v>
      </c>
      <c r="O41" s="181">
        <f t="shared" si="4"/>
        <v>-1203</v>
      </c>
      <c r="P41" s="675">
        <f t="shared" si="6"/>
        <v>-4.4003072533743005E-2</v>
      </c>
      <c r="Q41" s="674"/>
      <c r="R41" s="466"/>
    </row>
    <row r="42" spans="2:18" s="43" customFormat="1" ht="20.25" x14ac:dyDescent="0.2">
      <c r="B42" s="42"/>
      <c r="C42" s="42"/>
      <c r="D42" s="46" t="s">
        <v>41</v>
      </c>
      <c r="E42" s="46"/>
      <c r="F42" s="46"/>
      <c r="G42" s="46"/>
      <c r="H42" s="150">
        <v>5127</v>
      </c>
      <c r="I42" s="150">
        <v>4300</v>
      </c>
      <c r="J42" s="150">
        <v>3891.69</v>
      </c>
      <c r="K42" s="181"/>
      <c r="L42" s="150">
        <v>4907</v>
      </c>
      <c r="M42" s="150">
        <v>871.65</v>
      </c>
      <c r="N42" s="181">
        <f t="shared" si="7"/>
        <v>4255.3500000000004</v>
      </c>
      <c r="O42" s="181">
        <f t="shared" si="4"/>
        <v>-408.30999999999995</v>
      </c>
      <c r="P42" s="675">
        <f t="shared" si="6"/>
        <v>-9.4955813953488358E-2</v>
      </c>
      <c r="Q42" s="674"/>
      <c r="R42" s="466"/>
    </row>
    <row r="43" spans="2:18" s="43" customFormat="1" ht="20.25" x14ac:dyDescent="0.2">
      <c r="B43" s="42"/>
      <c r="C43" s="42"/>
      <c r="D43" s="46" t="s">
        <v>44</v>
      </c>
      <c r="E43" s="46"/>
      <c r="F43" s="46"/>
      <c r="G43" s="46"/>
      <c r="H43" s="150">
        <v>4960</v>
      </c>
      <c r="I43" s="150">
        <v>4140</v>
      </c>
      <c r="J43" s="150">
        <v>5356.36</v>
      </c>
      <c r="K43" s="181"/>
      <c r="L43" s="150">
        <v>5073</v>
      </c>
      <c r="M43" s="150">
        <v>831.48</v>
      </c>
      <c r="N43" s="181">
        <f t="shared" si="7"/>
        <v>4128.5200000000004</v>
      </c>
      <c r="O43" s="181">
        <f t="shared" si="4"/>
        <v>1216.3599999999997</v>
      </c>
      <c r="P43" s="675">
        <f t="shared" si="6"/>
        <v>0.29380676328502409</v>
      </c>
      <c r="Q43" s="674"/>
      <c r="R43" s="466"/>
    </row>
    <row r="44" spans="2:18" s="43" customFormat="1" ht="20.25" x14ac:dyDescent="0.2">
      <c r="B44" s="42"/>
      <c r="C44" s="42"/>
      <c r="D44" s="46" t="s">
        <v>40</v>
      </c>
      <c r="E44" s="46"/>
      <c r="F44" s="46"/>
      <c r="G44" s="46"/>
      <c r="H44" s="150">
        <v>2820</v>
      </c>
      <c r="I44" s="150">
        <v>2520</v>
      </c>
      <c r="J44" s="150">
        <v>3328.5</v>
      </c>
      <c r="K44" s="181"/>
      <c r="L44" s="150">
        <v>2828.9</v>
      </c>
      <c r="M44" s="150">
        <v>633</v>
      </c>
      <c r="N44" s="181">
        <f t="shared" si="7"/>
        <v>2187</v>
      </c>
      <c r="O44" s="181">
        <f t="shared" si="4"/>
        <v>808.5</v>
      </c>
      <c r="P44" s="675">
        <f t="shared" si="6"/>
        <v>0.32083333333333336</v>
      </c>
      <c r="Q44" s="674"/>
      <c r="R44" s="466"/>
    </row>
    <row r="45" spans="2:18" s="43" customFormat="1" ht="20.25" x14ac:dyDescent="0.2">
      <c r="B45" s="42"/>
      <c r="C45" s="42"/>
      <c r="D45" s="46" t="s">
        <v>42</v>
      </c>
      <c r="E45" s="46"/>
      <c r="F45" s="46"/>
      <c r="G45" s="46"/>
      <c r="H45" s="150">
        <v>5612</v>
      </c>
      <c r="I45" s="150">
        <v>2231</v>
      </c>
      <c r="J45" s="150">
        <v>2260.62</v>
      </c>
      <c r="K45" s="181"/>
      <c r="L45" s="150">
        <v>7663.4560000000001</v>
      </c>
      <c r="M45" s="150"/>
      <c r="N45" s="181">
        <f t="shared" si="7"/>
        <v>5612</v>
      </c>
      <c r="O45" s="181">
        <f t="shared" si="4"/>
        <v>29.619999999999891</v>
      </c>
      <c r="P45" s="675">
        <f t="shared" si="6"/>
        <v>1.3276557597489866E-2</v>
      </c>
      <c r="Q45" s="674"/>
      <c r="R45" s="466"/>
    </row>
    <row r="46" spans="2:18" s="43" customFormat="1" ht="20.25" x14ac:dyDescent="0.2">
      <c r="B46" s="42"/>
      <c r="C46" s="42"/>
      <c r="D46" s="46" t="s">
        <v>37</v>
      </c>
      <c r="E46" s="46"/>
      <c r="F46" s="46"/>
      <c r="G46" s="46"/>
      <c r="H46" s="150">
        <v>1800</v>
      </c>
      <c r="I46" s="150">
        <v>1800</v>
      </c>
      <c r="J46" s="150">
        <f>150*12</f>
        <v>1800</v>
      </c>
      <c r="K46" s="181"/>
      <c r="L46" s="150">
        <f>H46</f>
        <v>1800</v>
      </c>
      <c r="M46" s="150">
        <v>300</v>
      </c>
      <c r="N46" s="181">
        <f t="shared" si="7"/>
        <v>1500</v>
      </c>
      <c r="O46" s="181">
        <f t="shared" si="4"/>
        <v>0</v>
      </c>
      <c r="P46" s="675">
        <f t="shared" si="6"/>
        <v>0</v>
      </c>
      <c r="Q46" s="674"/>
      <c r="R46" s="466"/>
    </row>
    <row r="47" spans="2:18" s="43" customFormat="1" ht="20.25" x14ac:dyDescent="0.2">
      <c r="B47" s="42"/>
      <c r="C47" s="42"/>
      <c r="D47" s="46" t="s">
        <v>38</v>
      </c>
      <c r="E47" s="46"/>
      <c r="F47" s="46"/>
      <c r="G47" s="46"/>
      <c r="H47" s="150">
        <f>H28</f>
        <v>52740</v>
      </c>
      <c r="I47" s="150">
        <f>I28</f>
        <v>52740</v>
      </c>
      <c r="J47" s="150">
        <f>J28</f>
        <v>52740</v>
      </c>
      <c r="K47" s="181"/>
      <c r="L47" s="150">
        <f>L28</f>
        <v>52740</v>
      </c>
      <c r="M47" s="150">
        <f>M28</f>
        <v>8790</v>
      </c>
      <c r="N47" s="181">
        <f t="shared" si="7"/>
        <v>43950</v>
      </c>
      <c r="O47" s="181">
        <f t="shared" si="4"/>
        <v>0</v>
      </c>
      <c r="P47" s="675">
        <f t="shared" si="6"/>
        <v>0</v>
      </c>
      <c r="Q47" s="674"/>
      <c r="R47" s="466"/>
    </row>
    <row r="48" spans="2:18" s="43" customFormat="1" ht="20.25" x14ac:dyDescent="0.2">
      <c r="B48" s="42"/>
      <c r="C48" s="42"/>
      <c r="D48" s="46" t="s">
        <v>51</v>
      </c>
      <c r="E48" s="46"/>
      <c r="F48" s="46"/>
      <c r="G48" s="46"/>
      <c r="H48" s="150">
        <v>5500</v>
      </c>
      <c r="I48" s="150">
        <v>22</v>
      </c>
      <c r="J48" s="150">
        <v>397.29</v>
      </c>
      <c r="K48" s="150"/>
      <c r="L48" s="150">
        <v>5900.51</v>
      </c>
      <c r="M48" s="150">
        <v>22.29</v>
      </c>
      <c r="N48" s="181">
        <f t="shared" si="7"/>
        <v>5477.71</v>
      </c>
      <c r="O48" s="181">
        <f t="shared" si="4"/>
        <v>375.29</v>
      </c>
      <c r="P48" s="675">
        <f t="shared" si="6"/>
        <v>17.058636363636364</v>
      </c>
      <c r="Q48" s="674"/>
      <c r="R48" s="466"/>
    </row>
    <row r="49" spans="2:18" s="43" customFormat="1" ht="20.25" x14ac:dyDescent="0.2">
      <c r="B49" s="42"/>
      <c r="C49" s="42"/>
      <c r="D49" s="46" t="s">
        <v>50</v>
      </c>
      <c r="E49" s="46"/>
      <c r="F49" s="46"/>
      <c r="G49" s="46"/>
      <c r="H49" s="150">
        <v>700</v>
      </c>
      <c r="I49" s="150">
        <v>999</v>
      </c>
      <c r="J49" s="150">
        <v>1006.17</v>
      </c>
      <c r="K49" s="150"/>
      <c r="L49" s="150">
        <v>3315.48</v>
      </c>
      <c r="M49" s="150">
        <v>348.5</v>
      </c>
      <c r="N49" s="181">
        <f t="shared" si="7"/>
        <v>351.5</v>
      </c>
      <c r="O49" s="181">
        <f t="shared" si="4"/>
        <v>7.1699999999999591</v>
      </c>
      <c r="P49" s="675">
        <f t="shared" si="6"/>
        <v>7.1771771771771365E-3</v>
      </c>
      <c r="Q49" s="674"/>
      <c r="R49" s="466"/>
    </row>
    <row r="50" spans="2:18" s="43" customFormat="1" ht="20.25" x14ac:dyDescent="0.2">
      <c r="B50" s="42"/>
      <c r="C50" s="42"/>
      <c r="D50" s="46" t="s">
        <v>39</v>
      </c>
      <c r="E50" s="46"/>
      <c r="F50" s="46"/>
      <c r="G50" s="46"/>
      <c r="H50" s="150">
        <v>22993</v>
      </c>
      <c r="I50" s="150">
        <v>20106</v>
      </c>
      <c r="J50" s="150">
        <v>19087</v>
      </c>
      <c r="K50" s="181"/>
      <c r="L50" s="150">
        <v>16231.75</v>
      </c>
      <c r="M50" s="150">
        <v>3297.26</v>
      </c>
      <c r="N50" s="181">
        <f t="shared" si="7"/>
        <v>19695.739999999998</v>
      </c>
      <c r="O50" s="181">
        <f t="shared" si="4"/>
        <v>-1019</v>
      </c>
      <c r="P50" s="675">
        <f t="shared" si="6"/>
        <v>-5.0681388640206902E-2</v>
      </c>
      <c r="Q50" s="674"/>
      <c r="R50" s="466"/>
    </row>
    <row r="51" spans="2:18" s="43" customFormat="1" ht="20.25" x14ac:dyDescent="0.2">
      <c r="B51" s="42"/>
      <c r="C51" s="42"/>
      <c r="D51" s="46" t="s">
        <v>52</v>
      </c>
      <c r="E51" s="46"/>
      <c r="F51" s="46"/>
      <c r="G51" s="46"/>
      <c r="H51" s="150">
        <v>8543</v>
      </c>
      <c r="I51" s="150">
        <v>5403</v>
      </c>
      <c r="J51" s="150">
        <v>4896.6499999999996</v>
      </c>
      <c r="K51" s="150"/>
      <c r="L51" s="150">
        <v>5793</v>
      </c>
      <c r="M51" s="150">
        <v>366</v>
      </c>
      <c r="N51" s="181">
        <f t="shared" si="7"/>
        <v>8177</v>
      </c>
      <c r="O51" s="181">
        <f t="shared" si="4"/>
        <v>-506.35000000000036</v>
      </c>
      <c r="P51" s="675">
        <f t="shared" si="6"/>
        <v>-9.3716453821950832E-2</v>
      </c>
      <c r="Q51" s="674"/>
      <c r="R51" s="466"/>
    </row>
    <row r="52" spans="2:18" s="43" customFormat="1" ht="20.25" x14ac:dyDescent="0.2">
      <c r="B52" s="42"/>
      <c r="C52" s="42"/>
      <c r="D52" s="46" t="s">
        <v>54</v>
      </c>
      <c r="E52" s="46"/>
      <c r="F52" s="46"/>
      <c r="G52" s="46"/>
      <c r="H52" s="150">
        <v>60600</v>
      </c>
      <c r="I52" s="150">
        <v>66414</v>
      </c>
      <c r="J52" s="150">
        <v>62687.31</v>
      </c>
      <c r="K52" s="150"/>
      <c r="L52" s="150">
        <v>52599</v>
      </c>
      <c r="M52" s="150">
        <v>8083.41</v>
      </c>
      <c r="N52" s="181">
        <f t="shared" si="7"/>
        <v>52516.59</v>
      </c>
      <c r="O52" s="181">
        <f t="shared" si="4"/>
        <v>-3726.6900000000023</v>
      </c>
      <c r="P52" s="675">
        <f t="shared" si="6"/>
        <v>-5.6113018339506764E-2</v>
      </c>
      <c r="Q52" s="674"/>
    </row>
    <row r="53" spans="2:18" s="43" customFormat="1" ht="21" thickBot="1" x14ac:dyDescent="0.25">
      <c r="B53" s="42"/>
      <c r="C53" s="42"/>
      <c r="D53" s="46" t="s">
        <v>69</v>
      </c>
      <c r="E53" s="46"/>
      <c r="F53" s="46"/>
      <c r="G53" s="46"/>
      <c r="H53" s="150">
        <v>24021</v>
      </c>
      <c r="I53" s="150">
        <v>49068</v>
      </c>
      <c r="J53" s="150">
        <v>49068</v>
      </c>
      <c r="K53" s="150"/>
      <c r="L53" s="150">
        <v>29397.5</v>
      </c>
      <c r="M53" s="150">
        <v>8178</v>
      </c>
      <c r="N53" s="259">
        <f t="shared" si="7"/>
        <v>15843</v>
      </c>
      <c r="O53" s="181">
        <f t="shared" si="4"/>
        <v>0</v>
      </c>
      <c r="P53" s="675">
        <f t="shared" si="6"/>
        <v>0</v>
      </c>
      <c r="Q53" s="674"/>
      <c r="R53" s="466"/>
    </row>
    <row r="54" spans="2:18" s="43" customFormat="1" ht="21" thickBot="1" x14ac:dyDescent="0.25">
      <c r="B54" s="46"/>
      <c r="C54" s="46"/>
      <c r="D54" s="46" t="s">
        <v>675</v>
      </c>
      <c r="E54" s="46"/>
      <c r="F54" s="46"/>
      <c r="G54" s="46"/>
      <c r="H54" s="150">
        <v>5933</v>
      </c>
      <c r="I54" s="150">
        <v>7494</v>
      </c>
      <c r="J54" s="150">
        <v>7493.88</v>
      </c>
      <c r="K54" s="150"/>
      <c r="L54" s="150">
        <v>4451</v>
      </c>
      <c r="M54" s="150">
        <v>1248.98</v>
      </c>
      <c r="N54" s="181">
        <f>H54-M54</f>
        <v>4684.0200000000004</v>
      </c>
      <c r="O54" s="259">
        <f t="shared" si="4"/>
        <v>-0.11999999999989086</v>
      </c>
      <c r="P54" s="677">
        <f t="shared" si="6"/>
        <v>-1.6012810248183995E-5</v>
      </c>
      <c r="Q54" s="674"/>
      <c r="R54" s="466"/>
    </row>
    <row r="55" spans="2:18" s="43" customFormat="1" ht="20.25" x14ac:dyDescent="0.2">
      <c r="B55" s="46"/>
      <c r="C55" s="46"/>
      <c r="D55" s="46"/>
      <c r="E55" s="42" t="s">
        <v>68</v>
      </c>
      <c r="G55" s="46"/>
      <c r="H55" s="746">
        <f>SUM(H32:H54)</f>
        <v>1742950</v>
      </c>
      <c r="I55" s="746">
        <f>SUM(I32:I54)</f>
        <v>1545398</v>
      </c>
      <c r="J55" s="746">
        <f>SUM(J32:J54)</f>
        <v>1526555.6299999997</v>
      </c>
      <c r="K55" s="150"/>
      <c r="L55" s="150"/>
      <c r="M55" s="150"/>
      <c r="N55" s="181"/>
      <c r="O55" s="181">
        <f>J55-I55</f>
        <v>-18842.370000000345</v>
      </c>
      <c r="P55" s="675">
        <f t="shared" si="6"/>
        <v>-1.2192567869248145E-2</v>
      </c>
      <c r="Q55" s="674"/>
      <c r="R55" s="466"/>
    </row>
    <row r="56" spans="2:18" s="43" customFormat="1" ht="10.5" customHeight="1" thickBot="1" x14ac:dyDescent="0.25">
      <c r="B56" s="42"/>
      <c r="C56" s="42"/>
      <c r="D56" s="42"/>
      <c r="E56" s="42"/>
      <c r="F56" s="42"/>
      <c r="G56" s="42"/>
      <c r="H56" s="157"/>
      <c r="I56" s="157"/>
      <c r="J56" s="157"/>
      <c r="K56" s="150"/>
      <c r="L56" s="157"/>
      <c r="M56" s="157"/>
      <c r="N56" s="266"/>
      <c r="O56" s="266"/>
      <c r="P56" s="266"/>
      <c r="Q56" s="674"/>
      <c r="R56" s="466"/>
    </row>
    <row r="57" spans="2:18" s="43" customFormat="1" ht="21" thickBot="1" x14ac:dyDescent="0.25">
      <c r="B57" s="42"/>
      <c r="C57" s="42"/>
      <c r="D57" s="42"/>
      <c r="E57" s="42" t="s">
        <v>130</v>
      </c>
      <c r="F57" s="42"/>
      <c r="G57" s="42"/>
      <c r="H57" s="157">
        <f>H29-H55</f>
        <v>3105</v>
      </c>
      <c r="I57" s="157">
        <f>I29-I55</f>
        <v>-33104.979999999981</v>
      </c>
      <c r="J57" s="157">
        <f>J29-J55</f>
        <v>90299.260000000242</v>
      </c>
      <c r="K57" s="150"/>
      <c r="L57" s="157" t="e">
        <f>#REF!-#REF!</f>
        <v>#REF!</v>
      </c>
      <c r="M57" s="157" t="e">
        <f>#REF!-#REF!</f>
        <v>#REF!</v>
      </c>
      <c r="N57" s="734" t="e">
        <f t="shared" ref="N57" si="8">H57-M57</f>
        <v>#REF!</v>
      </c>
      <c r="O57" s="734">
        <f>J57-I57</f>
        <v>123404.24000000022</v>
      </c>
      <c r="P57" s="679">
        <f t="shared" si="6"/>
        <v>-3.7276639345500371</v>
      </c>
      <c r="Q57" s="674"/>
      <c r="R57" s="466"/>
    </row>
  </sheetData>
  <mergeCells count="4">
    <mergeCell ref="H6:L6"/>
    <mergeCell ref="N8:P8"/>
    <mergeCell ref="D39:G39"/>
    <mergeCell ref="C8:G8"/>
  </mergeCells>
  <pageMargins left="0.65" right="0.15" top="0.25" bottom="0.25" header="0.3" footer="0.3"/>
  <pageSetup scale="47"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32B8-63BC-4D8B-8C04-10505398A972}">
  <sheetPr>
    <pageSetUpPr fitToPage="1"/>
  </sheetPr>
  <dimension ref="A1:U72"/>
  <sheetViews>
    <sheetView topLeftCell="R54" zoomScale="75" zoomScaleNormal="75" workbookViewId="0">
      <selection activeCell="V11" sqref="V11"/>
    </sheetView>
  </sheetViews>
  <sheetFormatPr defaultRowHeight="14.25" x14ac:dyDescent="0.2"/>
  <cols>
    <col min="1" max="1" width="2.875" style="33" hidden="1" customWidth="1"/>
    <col min="2" max="2" width="8.125" style="33" hidden="1" customWidth="1"/>
    <col min="3" max="3" width="8.75" style="33" hidden="1" customWidth="1"/>
    <col min="4" max="4" width="5.75" style="33" hidden="1" customWidth="1"/>
    <col min="5" max="5" width="2.875" style="33" hidden="1" customWidth="1"/>
    <col min="6" max="6" width="45.625" style="33" hidden="1" customWidth="1"/>
    <col min="7" max="7" width="22.25" style="147" hidden="1" customWidth="1"/>
    <col min="8" max="8" width="23.125" hidden="1" customWidth="1"/>
    <col min="9" max="9" width="1.625" hidden="1" customWidth="1"/>
    <col min="10" max="10" width="26.875" hidden="1" customWidth="1"/>
    <col min="11" max="11" width="24.5" hidden="1" customWidth="1"/>
    <col min="12" max="12" width="1.625" hidden="1" customWidth="1"/>
    <col min="13" max="13" width="23.125" hidden="1" customWidth="1"/>
    <col min="14" max="14" width="1.75" hidden="1" customWidth="1"/>
    <col min="15" max="15" width="15.25" hidden="1" customWidth="1"/>
    <col min="16" max="16" width="10.625" style="3" hidden="1" customWidth="1"/>
    <col min="17" max="17" width="0" hidden="1" customWidth="1"/>
    <col min="19" max="19" width="6.75" customWidth="1"/>
    <col min="20" max="20" width="73.25" customWidth="1"/>
    <col min="21" max="21" width="30.375" customWidth="1"/>
    <col min="225" max="225" width="2.875" customWidth="1"/>
    <col min="226" max="226" width="8.125" customWidth="1"/>
    <col min="227" max="227" width="8.75" customWidth="1"/>
    <col min="228" max="228" width="11" customWidth="1"/>
    <col min="229" max="229" width="2.875" customWidth="1"/>
    <col min="230" max="230" width="77.625" customWidth="1"/>
    <col min="231" max="231" width="20.875" customWidth="1"/>
    <col min="481" max="481" width="2.875" customWidth="1"/>
    <col min="482" max="482" width="8.125" customWidth="1"/>
    <col min="483" max="483" width="8.75" customWidth="1"/>
    <col min="484" max="484" width="11" customWidth="1"/>
    <col min="485" max="485" width="2.875" customWidth="1"/>
    <col min="486" max="486" width="77.625" customWidth="1"/>
    <col min="487" max="487" width="20.875" customWidth="1"/>
    <col min="737" max="737" width="2.875" customWidth="1"/>
    <col min="738" max="738" width="8.125" customWidth="1"/>
    <col min="739" max="739" width="8.75" customWidth="1"/>
    <col min="740" max="740" width="11" customWidth="1"/>
    <col min="741" max="741" width="2.875" customWidth="1"/>
    <col min="742" max="742" width="77.625" customWidth="1"/>
    <col min="743" max="743" width="20.875" customWidth="1"/>
    <col min="993" max="993" width="2.875" customWidth="1"/>
    <col min="994" max="994" width="8.125" customWidth="1"/>
    <col min="995" max="995" width="8.75" customWidth="1"/>
    <col min="996" max="996" width="11" customWidth="1"/>
    <col min="997" max="997" width="2.875" customWidth="1"/>
    <col min="998" max="998" width="77.625" customWidth="1"/>
    <col min="999" max="999" width="20.875" customWidth="1"/>
    <col min="1249" max="1249" width="2.875" customWidth="1"/>
    <col min="1250" max="1250" width="8.125" customWidth="1"/>
    <col min="1251" max="1251" width="8.75" customWidth="1"/>
    <col min="1252" max="1252" width="11" customWidth="1"/>
    <col min="1253" max="1253" width="2.875" customWidth="1"/>
    <col min="1254" max="1254" width="77.625" customWidth="1"/>
    <col min="1255" max="1255" width="20.875" customWidth="1"/>
    <col min="1505" max="1505" width="2.875" customWidth="1"/>
    <col min="1506" max="1506" width="8.125" customWidth="1"/>
    <col min="1507" max="1507" width="8.75" customWidth="1"/>
    <col min="1508" max="1508" width="11" customWidth="1"/>
    <col min="1509" max="1509" width="2.875" customWidth="1"/>
    <col min="1510" max="1510" width="77.625" customWidth="1"/>
    <col min="1511" max="1511" width="20.875" customWidth="1"/>
    <col min="1761" max="1761" width="2.875" customWidth="1"/>
    <col min="1762" max="1762" width="8.125" customWidth="1"/>
    <col min="1763" max="1763" width="8.75" customWidth="1"/>
    <col min="1764" max="1764" width="11" customWidth="1"/>
    <col min="1765" max="1765" width="2.875" customWidth="1"/>
    <col min="1766" max="1766" width="77.625" customWidth="1"/>
    <col min="1767" max="1767" width="20.875" customWidth="1"/>
    <col min="2017" max="2017" width="2.875" customWidth="1"/>
    <col min="2018" max="2018" width="8.125" customWidth="1"/>
    <col min="2019" max="2019" width="8.75" customWidth="1"/>
    <col min="2020" max="2020" width="11" customWidth="1"/>
    <col min="2021" max="2021" width="2.875" customWidth="1"/>
    <col min="2022" max="2022" width="77.625" customWidth="1"/>
    <col min="2023" max="2023" width="20.875" customWidth="1"/>
    <col min="2273" max="2273" width="2.875" customWidth="1"/>
    <col min="2274" max="2274" width="8.125" customWidth="1"/>
    <col min="2275" max="2275" width="8.75" customWidth="1"/>
    <col min="2276" max="2276" width="11" customWidth="1"/>
    <col min="2277" max="2277" width="2.875" customWidth="1"/>
    <col min="2278" max="2278" width="77.625" customWidth="1"/>
    <col min="2279" max="2279" width="20.875" customWidth="1"/>
    <col min="2529" max="2529" width="2.875" customWidth="1"/>
    <col min="2530" max="2530" width="8.125" customWidth="1"/>
    <col min="2531" max="2531" width="8.75" customWidth="1"/>
    <col min="2532" max="2532" width="11" customWidth="1"/>
    <col min="2533" max="2533" width="2.875" customWidth="1"/>
    <col min="2534" max="2534" width="77.625" customWidth="1"/>
    <col min="2535" max="2535" width="20.875" customWidth="1"/>
    <col min="2785" max="2785" width="2.875" customWidth="1"/>
    <col min="2786" max="2786" width="8.125" customWidth="1"/>
    <col min="2787" max="2787" width="8.75" customWidth="1"/>
    <col min="2788" max="2788" width="11" customWidth="1"/>
    <col min="2789" max="2789" width="2.875" customWidth="1"/>
    <col min="2790" max="2790" width="77.625" customWidth="1"/>
    <col min="2791" max="2791" width="20.875" customWidth="1"/>
    <col min="3041" max="3041" width="2.875" customWidth="1"/>
    <col min="3042" max="3042" width="8.125" customWidth="1"/>
    <col min="3043" max="3043" width="8.75" customWidth="1"/>
    <col min="3044" max="3044" width="11" customWidth="1"/>
    <col min="3045" max="3045" width="2.875" customWidth="1"/>
    <col min="3046" max="3046" width="77.625" customWidth="1"/>
    <col min="3047" max="3047" width="20.875" customWidth="1"/>
    <col min="3297" max="3297" width="2.875" customWidth="1"/>
    <col min="3298" max="3298" width="8.125" customWidth="1"/>
    <col min="3299" max="3299" width="8.75" customWidth="1"/>
    <col min="3300" max="3300" width="11" customWidth="1"/>
    <col min="3301" max="3301" width="2.875" customWidth="1"/>
    <col min="3302" max="3302" width="77.625" customWidth="1"/>
    <col min="3303" max="3303" width="20.875" customWidth="1"/>
    <col min="3553" max="3553" width="2.875" customWidth="1"/>
    <col min="3554" max="3554" width="8.125" customWidth="1"/>
    <col min="3555" max="3555" width="8.75" customWidth="1"/>
    <col min="3556" max="3556" width="11" customWidth="1"/>
    <col min="3557" max="3557" width="2.875" customWidth="1"/>
    <col min="3558" max="3558" width="77.625" customWidth="1"/>
    <col min="3559" max="3559" width="20.875" customWidth="1"/>
    <col min="3809" max="3809" width="2.875" customWidth="1"/>
    <col min="3810" max="3810" width="8.125" customWidth="1"/>
    <col min="3811" max="3811" width="8.75" customWidth="1"/>
    <col min="3812" max="3812" width="11" customWidth="1"/>
    <col min="3813" max="3813" width="2.875" customWidth="1"/>
    <col min="3814" max="3814" width="77.625" customWidth="1"/>
    <col min="3815" max="3815" width="20.875" customWidth="1"/>
    <col min="4065" max="4065" width="2.875" customWidth="1"/>
    <col min="4066" max="4066" width="8.125" customWidth="1"/>
    <col min="4067" max="4067" width="8.75" customWidth="1"/>
    <col min="4068" max="4068" width="11" customWidth="1"/>
    <col min="4069" max="4069" width="2.875" customWidth="1"/>
    <col min="4070" max="4070" width="77.625" customWidth="1"/>
    <col min="4071" max="4071" width="20.875" customWidth="1"/>
    <col min="4321" max="4321" width="2.875" customWidth="1"/>
    <col min="4322" max="4322" width="8.125" customWidth="1"/>
    <col min="4323" max="4323" width="8.75" customWidth="1"/>
    <col min="4324" max="4324" width="11" customWidth="1"/>
    <col min="4325" max="4325" width="2.875" customWidth="1"/>
    <col min="4326" max="4326" width="77.625" customWidth="1"/>
    <col min="4327" max="4327" width="20.875" customWidth="1"/>
    <col min="4577" max="4577" width="2.875" customWidth="1"/>
    <col min="4578" max="4578" width="8.125" customWidth="1"/>
    <col min="4579" max="4579" width="8.75" customWidth="1"/>
    <col min="4580" max="4580" width="11" customWidth="1"/>
    <col min="4581" max="4581" width="2.875" customWidth="1"/>
    <col min="4582" max="4582" width="77.625" customWidth="1"/>
    <col min="4583" max="4583" width="20.875" customWidth="1"/>
    <col min="4833" max="4833" width="2.875" customWidth="1"/>
    <col min="4834" max="4834" width="8.125" customWidth="1"/>
    <col min="4835" max="4835" width="8.75" customWidth="1"/>
    <col min="4836" max="4836" width="11" customWidth="1"/>
    <col min="4837" max="4837" width="2.875" customWidth="1"/>
    <col min="4838" max="4838" width="77.625" customWidth="1"/>
    <col min="4839" max="4839" width="20.875" customWidth="1"/>
    <col min="5089" max="5089" width="2.875" customWidth="1"/>
    <col min="5090" max="5090" width="8.125" customWidth="1"/>
    <col min="5091" max="5091" width="8.75" customWidth="1"/>
    <col min="5092" max="5092" width="11" customWidth="1"/>
    <col min="5093" max="5093" width="2.875" customWidth="1"/>
    <col min="5094" max="5094" width="77.625" customWidth="1"/>
    <col min="5095" max="5095" width="20.875" customWidth="1"/>
    <col min="5345" max="5345" width="2.875" customWidth="1"/>
    <col min="5346" max="5346" width="8.125" customWidth="1"/>
    <col min="5347" max="5347" width="8.75" customWidth="1"/>
    <col min="5348" max="5348" width="11" customWidth="1"/>
    <col min="5349" max="5349" width="2.875" customWidth="1"/>
    <col min="5350" max="5350" width="77.625" customWidth="1"/>
    <col min="5351" max="5351" width="20.875" customWidth="1"/>
    <col min="5601" max="5601" width="2.875" customWidth="1"/>
    <col min="5602" max="5602" width="8.125" customWidth="1"/>
    <col min="5603" max="5603" width="8.75" customWidth="1"/>
    <col min="5604" max="5604" width="11" customWidth="1"/>
    <col min="5605" max="5605" width="2.875" customWidth="1"/>
    <col min="5606" max="5606" width="77.625" customWidth="1"/>
    <col min="5607" max="5607" width="20.875" customWidth="1"/>
    <col min="5857" max="5857" width="2.875" customWidth="1"/>
    <col min="5858" max="5858" width="8.125" customWidth="1"/>
    <col min="5859" max="5859" width="8.75" customWidth="1"/>
    <col min="5860" max="5860" width="11" customWidth="1"/>
    <col min="5861" max="5861" width="2.875" customWidth="1"/>
    <col min="5862" max="5862" width="77.625" customWidth="1"/>
    <col min="5863" max="5863" width="20.875" customWidth="1"/>
    <col min="6113" max="6113" width="2.875" customWidth="1"/>
    <col min="6114" max="6114" width="8.125" customWidth="1"/>
    <col min="6115" max="6115" width="8.75" customWidth="1"/>
    <col min="6116" max="6116" width="11" customWidth="1"/>
    <col min="6117" max="6117" width="2.875" customWidth="1"/>
    <col min="6118" max="6118" width="77.625" customWidth="1"/>
    <col min="6119" max="6119" width="20.875" customWidth="1"/>
    <col min="6369" max="6369" width="2.875" customWidth="1"/>
    <col min="6370" max="6370" width="8.125" customWidth="1"/>
    <col min="6371" max="6371" width="8.75" customWidth="1"/>
    <col min="6372" max="6372" width="11" customWidth="1"/>
    <col min="6373" max="6373" width="2.875" customWidth="1"/>
    <col min="6374" max="6374" width="77.625" customWidth="1"/>
    <col min="6375" max="6375" width="20.875" customWidth="1"/>
    <col min="6625" max="6625" width="2.875" customWidth="1"/>
    <col min="6626" max="6626" width="8.125" customWidth="1"/>
    <col min="6627" max="6627" width="8.75" customWidth="1"/>
    <col min="6628" max="6628" width="11" customWidth="1"/>
    <col min="6629" max="6629" width="2.875" customWidth="1"/>
    <col min="6630" max="6630" width="77.625" customWidth="1"/>
    <col min="6631" max="6631" width="20.875" customWidth="1"/>
    <col min="6881" max="6881" width="2.875" customWidth="1"/>
    <col min="6882" max="6882" width="8.125" customWidth="1"/>
    <col min="6883" max="6883" width="8.75" customWidth="1"/>
    <col min="6884" max="6884" width="11" customWidth="1"/>
    <col min="6885" max="6885" width="2.875" customWidth="1"/>
    <col min="6886" max="6886" width="77.625" customWidth="1"/>
    <col min="6887" max="6887" width="20.875" customWidth="1"/>
    <col min="7137" max="7137" width="2.875" customWidth="1"/>
    <col min="7138" max="7138" width="8.125" customWidth="1"/>
    <col min="7139" max="7139" width="8.75" customWidth="1"/>
    <col min="7140" max="7140" width="11" customWidth="1"/>
    <col min="7141" max="7141" width="2.875" customWidth="1"/>
    <col min="7142" max="7142" width="77.625" customWidth="1"/>
    <col min="7143" max="7143" width="20.875" customWidth="1"/>
    <col min="7393" max="7393" width="2.875" customWidth="1"/>
    <col min="7394" max="7394" width="8.125" customWidth="1"/>
    <col min="7395" max="7395" width="8.75" customWidth="1"/>
    <col min="7396" max="7396" width="11" customWidth="1"/>
    <col min="7397" max="7397" width="2.875" customWidth="1"/>
    <col min="7398" max="7398" width="77.625" customWidth="1"/>
    <col min="7399" max="7399" width="20.875" customWidth="1"/>
    <col min="7649" max="7649" width="2.875" customWidth="1"/>
    <col min="7650" max="7650" width="8.125" customWidth="1"/>
    <col min="7651" max="7651" width="8.75" customWidth="1"/>
    <col min="7652" max="7652" width="11" customWidth="1"/>
    <col min="7653" max="7653" width="2.875" customWidth="1"/>
    <col min="7654" max="7654" width="77.625" customWidth="1"/>
    <col min="7655" max="7655" width="20.875" customWidth="1"/>
    <col min="7905" max="7905" width="2.875" customWidth="1"/>
    <col min="7906" max="7906" width="8.125" customWidth="1"/>
    <col min="7907" max="7907" width="8.75" customWidth="1"/>
    <col min="7908" max="7908" width="11" customWidth="1"/>
    <col min="7909" max="7909" width="2.875" customWidth="1"/>
    <col min="7910" max="7910" width="77.625" customWidth="1"/>
    <col min="7911" max="7911" width="20.875" customWidth="1"/>
    <col min="8161" max="8161" width="2.875" customWidth="1"/>
    <col min="8162" max="8162" width="8.125" customWidth="1"/>
    <col min="8163" max="8163" width="8.75" customWidth="1"/>
    <col min="8164" max="8164" width="11" customWidth="1"/>
    <col min="8165" max="8165" width="2.875" customWidth="1"/>
    <col min="8166" max="8166" width="77.625" customWidth="1"/>
    <col min="8167" max="8167" width="20.875" customWidth="1"/>
    <col min="8417" max="8417" width="2.875" customWidth="1"/>
    <col min="8418" max="8418" width="8.125" customWidth="1"/>
    <col min="8419" max="8419" width="8.75" customWidth="1"/>
    <col min="8420" max="8420" width="11" customWidth="1"/>
    <col min="8421" max="8421" width="2.875" customWidth="1"/>
    <col min="8422" max="8422" width="77.625" customWidth="1"/>
    <col min="8423" max="8423" width="20.875" customWidth="1"/>
    <col min="8673" max="8673" width="2.875" customWidth="1"/>
    <col min="8674" max="8674" width="8.125" customWidth="1"/>
    <col min="8675" max="8675" width="8.75" customWidth="1"/>
    <col min="8676" max="8676" width="11" customWidth="1"/>
    <col min="8677" max="8677" width="2.875" customWidth="1"/>
    <col min="8678" max="8678" width="77.625" customWidth="1"/>
    <col min="8679" max="8679" width="20.875" customWidth="1"/>
    <col min="8929" max="8929" width="2.875" customWidth="1"/>
    <col min="8930" max="8930" width="8.125" customWidth="1"/>
    <col min="8931" max="8931" width="8.75" customWidth="1"/>
    <col min="8932" max="8932" width="11" customWidth="1"/>
    <col min="8933" max="8933" width="2.875" customWidth="1"/>
    <col min="8934" max="8934" width="77.625" customWidth="1"/>
    <col min="8935" max="8935" width="20.875" customWidth="1"/>
    <col min="9185" max="9185" width="2.875" customWidth="1"/>
    <col min="9186" max="9186" width="8.125" customWidth="1"/>
    <col min="9187" max="9187" width="8.75" customWidth="1"/>
    <col min="9188" max="9188" width="11" customWidth="1"/>
    <col min="9189" max="9189" width="2.875" customWidth="1"/>
    <col min="9190" max="9190" width="77.625" customWidth="1"/>
    <col min="9191" max="9191" width="20.875" customWidth="1"/>
    <col min="9441" max="9441" width="2.875" customWidth="1"/>
    <col min="9442" max="9442" width="8.125" customWidth="1"/>
    <col min="9443" max="9443" width="8.75" customWidth="1"/>
    <col min="9444" max="9444" width="11" customWidth="1"/>
    <col min="9445" max="9445" width="2.875" customWidth="1"/>
    <col min="9446" max="9446" width="77.625" customWidth="1"/>
    <col min="9447" max="9447" width="20.875" customWidth="1"/>
    <col min="9697" max="9697" width="2.875" customWidth="1"/>
    <col min="9698" max="9698" width="8.125" customWidth="1"/>
    <col min="9699" max="9699" width="8.75" customWidth="1"/>
    <col min="9700" max="9700" width="11" customWidth="1"/>
    <col min="9701" max="9701" width="2.875" customWidth="1"/>
    <col min="9702" max="9702" width="77.625" customWidth="1"/>
    <col min="9703" max="9703" width="20.875" customWidth="1"/>
    <col min="9953" max="9953" width="2.875" customWidth="1"/>
    <col min="9954" max="9954" width="8.125" customWidth="1"/>
    <col min="9955" max="9955" width="8.75" customWidth="1"/>
    <col min="9956" max="9956" width="11" customWidth="1"/>
    <col min="9957" max="9957" width="2.875" customWidth="1"/>
    <col min="9958" max="9958" width="77.625" customWidth="1"/>
    <col min="9959" max="9959" width="20.875" customWidth="1"/>
    <col min="10209" max="10209" width="2.875" customWidth="1"/>
    <col min="10210" max="10210" width="8.125" customWidth="1"/>
    <col min="10211" max="10211" width="8.75" customWidth="1"/>
    <col min="10212" max="10212" width="11" customWidth="1"/>
    <col min="10213" max="10213" width="2.875" customWidth="1"/>
    <col min="10214" max="10214" width="77.625" customWidth="1"/>
    <col min="10215" max="10215" width="20.875" customWidth="1"/>
    <col min="10465" max="10465" width="2.875" customWidth="1"/>
    <col min="10466" max="10466" width="8.125" customWidth="1"/>
    <col min="10467" max="10467" width="8.75" customWidth="1"/>
    <col min="10468" max="10468" width="11" customWidth="1"/>
    <col min="10469" max="10469" width="2.875" customWidth="1"/>
    <col min="10470" max="10470" width="77.625" customWidth="1"/>
    <col min="10471" max="10471" width="20.875" customWidth="1"/>
    <col min="10721" max="10721" width="2.875" customWidth="1"/>
    <col min="10722" max="10722" width="8.125" customWidth="1"/>
    <col min="10723" max="10723" width="8.75" customWidth="1"/>
    <col min="10724" max="10724" width="11" customWidth="1"/>
    <col min="10725" max="10725" width="2.875" customWidth="1"/>
    <col min="10726" max="10726" width="77.625" customWidth="1"/>
    <col min="10727" max="10727" width="20.875" customWidth="1"/>
    <col min="10977" max="10977" width="2.875" customWidth="1"/>
    <col min="10978" max="10978" width="8.125" customWidth="1"/>
    <col min="10979" max="10979" width="8.75" customWidth="1"/>
    <col min="10980" max="10980" width="11" customWidth="1"/>
    <col min="10981" max="10981" width="2.875" customWidth="1"/>
    <col min="10982" max="10982" width="77.625" customWidth="1"/>
    <col min="10983" max="10983" width="20.875" customWidth="1"/>
    <col min="11233" max="11233" width="2.875" customWidth="1"/>
    <col min="11234" max="11234" width="8.125" customWidth="1"/>
    <col min="11235" max="11235" width="8.75" customWidth="1"/>
    <col min="11236" max="11236" width="11" customWidth="1"/>
    <col min="11237" max="11237" width="2.875" customWidth="1"/>
    <col min="11238" max="11238" width="77.625" customWidth="1"/>
    <col min="11239" max="11239" width="20.875" customWidth="1"/>
    <col min="11489" max="11489" width="2.875" customWidth="1"/>
    <col min="11490" max="11490" width="8.125" customWidth="1"/>
    <col min="11491" max="11491" width="8.75" customWidth="1"/>
    <col min="11492" max="11492" width="11" customWidth="1"/>
    <col min="11493" max="11493" width="2.875" customWidth="1"/>
    <col min="11494" max="11494" width="77.625" customWidth="1"/>
    <col min="11495" max="11495" width="20.875" customWidth="1"/>
    <col min="11745" max="11745" width="2.875" customWidth="1"/>
    <col min="11746" max="11746" width="8.125" customWidth="1"/>
    <col min="11747" max="11747" width="8.75" customWidth="1"/>
    <col min="11748" max="11748" width="11" customWidth="1"/>
    <col min="11749" max="11749" width="2.875" customWidth="1"/>
    <col min="11750" max="11750" width="77.625" customWidth="1"/>
    <col min="11751" max="11751" width="20.875" customWidth="1"/>
    <col min="12001" max="12001" width="2.875" customWidth="1"/>
    <col min="12002" max="12002" width="8.125" customWidth="1"/>
    <col min="12003" max="12003" width="8.75" customWidth="1"/>
    <col min="12004" max="12004" width="11" customWidth="1"/>
    <col min="12005" max="12005" width="2.875" customWidth="1"/>
    <col min="12006" max="12006" width="77.625" customWidth="1"/>
    <col min="12007" max="12007" width="20.875" customWidth="1"/>
    <col min="12257" max="12257" width="2.875" customWidth="1"/>
    <col min="12258" max="12258" width="8.125" customWidth="1"/>
    <col min="12259" max="12259" width="8.75" customWidth="1"/>
    <col min="12260" max="12260" width="11" customWidth="1"/>
    <col min="12261" max="12261" width="2.875" customWidth="1"/>
    <col min="12262" max="12262" width="77.625" customWidth="1"/>
    <col min="12263" max="12263" width="20.875" customWidth="1"/>
    <col min="12513" max="12513" width="2.875" customWidth="1"/>
    <col min="12514" max="12514" width="8.125" customWidth="1"/>
    <col min="12515" max="12515" width="8.75" customWidth="1"/>
    <col min="12516" max="12516" width="11" customWidth="1"/>
    <col min="12517" max="12517" width="2.875" customWidth="1"/>
    <col min="12518" max="12518" width="77.625" customWidth="1"/>
    <col min="12519" max="12519" width="20.875" customWidth="1"/>
    <col min="12769" max="12769" width="2.875" customWidth="1"/>
    <col min="12770" max="12770" width="8.125" customWidth="1"/>
    <col min="12771" max="12771" width="8.75" customWidth="1"/>
    <col min="12772" max="12772" width="11" customWidth="1"/>
    <col min="12773" max="12773" width="2.875" customWidth="1"/>
    <col min="12774" max="12774" width="77.625" customWidth="1"/>
    <col min="12775" max="12775" width="20.875" customWidth="1"/>
    <col min="13025" max="13025" width="2.875" customWidth="1"/>
    <col min="13026" max="13026" width="8.125" customWidth="1"/>
    <col min="13027" max="13027" width="8.75" customWidth="1"/>
    <col min="13028" max="13028" width="11" customWidth="1"/>
    <col min="13029" max="13029" width="2.875" customWidth="1"/>
    <col min="13030" max="13030" width="77.625" customWidth="1"/>
    <col min="13031" max="13031" width="20.875" customWidth="1"/>
    <col min="13281" max="13281" width="2.875" customWidth="1"/>
    <col min="13282" max="13282" width="8.125" customWidth="1"/>
    <col min="13283" max="13283" width="8.75" customWidth="1"/>
    <col min="13284" max="13284" width="11" customWidth="1"/>
    <col min="13285" max="13285" width="2.875" customWidth="1"/>
    <col min="13286" max="13286" width="77.625" customWidth="1"/>
    <col min="13287" max="13287" width="20.875" customWidth="1"/>
    <col min="13537" max="13537" width="2.875" customWidth="1"/>
    <col min="13538" max="13538" width="8.125" customWidth="1"/>
    <col min="13539" max="13539" width="8.75" customWidth="1"/>
    <col min="13540" max="13540" width="11" customWidth="1"/>
    <col min="13541" max="13541" width="2.875" customWidth="1"/>
    <col min="13542" max="13542" width="77.625" customWidth="1"/>
    <col min="13543" max="13543" width="20.875" customWidth="1"/>
    <col min="13793" max="13793" width="2.875" customWidth="1"/>
    <col min="13794" max="13794" width="8.125" customWidth="1"/>
    <col min="13795" max="13795" width="8.75" customWidth="1"/>
    <col min="13796" max="13796" width="11" customWidth="1"/>
    <col min="13797" max="13797" width="2.875" customWidth="1"/>
    <col min="13798" max="13798" width="77.625" customWidth="1"/>
    <col min="13799" max="13799" width="20.875" customWidth="1"/>
    <col min="14049" max="14049" width="2.875" customWidth="1"/>
    <col min="14050" max="14050" width="8.125" customWidth="1"/>
    <col min="14051" max="14051" width="8.75" customWidth="1"/>
    <col min="14052" max="14052" width="11" customWidth="1"/>
    <col min="14053" max="14053" width="2.875" customWidth="1"/>
    <col min="14054" max="14054" width="77.625" customWidth="1"/>
    <col min="14055" max="14055" width="20.875" customWidth="1"/>
    <col min="14305" max="14305" width="2.875" customWidth="1"/>
    <col min="14306" max="14306" width="8.125" customWidth="1"/>
    <col min="14307" max="14307" width="8.75" customWidth="1"/>
    <col min="14308" max="14308" width="11" customWidth="1"/>
    <col min="14309" max="14309" width="2.875" customWidth="1"/>
    <col min="14310" max="14310" width="77.625" customWidth="1"/>
    <col min="14311" max="14311" width="20.875" customWidth="1"/>
    <col min="14561" max="14561" width="2.875" customWidth="1"/>
    <col min="14562" max="14562" width="8.125" customWidth="1"/>
    <col min="14563" max="14563" width="8.75" customWidth="1"/>
    <col min="14564" max="14564" width="11" customWidth="1"/>
    <col min="14565" max="14565" width="2.875" customWidth="1"/>
    <col min="14566" max="14566" width="77.625" customWidth="1"/>
    <col min="14567" max="14567" width="20.875" customWidth="1"/>
    <col min="14817" max="14817" width="2.875" customWidth="1"/>
    <col min="14818" max="14818" width="8.125" customWidth="1"/>
    <col min="14819" max="14819" width="8.75" customWidth="1"/>
    <col min="14820" max="14820" width="11" customWidth="1"/>
    <col min="14821" max="14821" width="2.875" customWidth="1"/>
    <col min="14822" max="14822" width="77.625" customWidth="1"/>
    <col min="14823" max="14823" width="20.875" customWidth="1"/>
    <col min="15073" max="15073" width="2.875" customWidth="1"/>
    <col min="15074" max="15074" width="8.125" customWidth="1"/>
    <col min="15075" max="15075" width="8.75" customWidth="1"/>
    <col min="15076" max="15076" width="11" customWidth="1"/>
    <col min="15077" max="15077" width="2.875" customWidth="1"/>
    <col min="15078" max="15078" width="77.625" customWidth="1"/>
    <col min="15079" max="15079" width="20.875" customWidth="1"/>
    <col min="15329" max="15329" width="2.875" customWidth="1"/>
    <col min="15330" max="15330" width="8.125" customWidth="1"/>
    <col min="15331" max="15331" width="8.75" customWidth="1"/>
    <col min="15332" max="15332" width="11" customWidth="1"/>
    <col min="15333" max="15333" width="2.875" customWidth="1"/>
    <col min="15334" max="15334" width="77.625" customWidth="1"/>
    <col min="15335" max="15335" width="20.875" customWidth="1"/>
    <col min="15585" max="15585" width="2.875" customWidth="1"/>
    <col min="15586" max="15586" width="8.125" customWidth="1"/>
    <col min="15587" max="15587" width="8.75" customWidth="1"/>
    <col min="15588" max="15588" width="11" customWidth="1"/>
    <col min="15589" max="15589" width="2.875" customWidth="1"/>
    <col min="15590" max="15590" width="77.625" customWidth="1"/>
    <col min="15591" max="15591" width="20.875" customWidth="1"/>
    <col min="15841" max="15841" width="2.875" customWidth="1"/>
    <col min="15842" max="15842" width="8.125" customWidth="1"/>
    <col min="15843" max="15843" width="8.75" customWidth="1"/>
    <col min="15844" max="15844" width="11" customWidth="1"/>
    <col min="15845" max="15845" width="2.875" customWidth="1"/>
    <col min="15846" max="15846" width="77.625" customWidth="1"/>
    <col min="15847" max="15847" width="20.875" customWidth="1"/>
    <col min="16097" max="16097" width="2.875" customWidth="1"/>
    <col min="16098" max="16098" width="8.125" customWidth="1"/>
    <col min="16099" max="16099" width="8.75" customWidth="1"/>
    <col min="16100" max="16100" width="11" customWidth="1"/>
    <col min="16101" max="16101" width="2.875" customWidth="1"/>
    <col min="16102" max="16102" width="77.625" customWidth="1"/>
    <col min="16103" max="16103" width="20.875" customWidth="1"/>
  </cols>
  <sheetData>
    <row r="1" spans="1:21" ht="22.5" customHeight="1" x14ac:dyDescent="0.4">
      <c r="A1" s="34" t="s">
        <v>0</v>
      </c>
      <c r="B1" s="35"/>
      <c r="C1" s="36"/>
      <c r="D1" s="36"/>
      <c r="E1" s="36"/>
      <c r="F1" s="35"/>
      <c r="G1" s="148"/>
      <c r="H1" s="35"/>
      <c r="I1" s="35"/>
      <c r="J1" s="35"/>
      <c r="K1" s="35"/>
      <c r="L1" s="35"/>
      <c r="M1" s="35"/>
      <c r="N1" s="35"/>
      <c r="O1" s="35"/>
      <c r="P1" s="36"/>
      <c r="Q1" s="35"/>
      <c r="R1" s="35"/>
      <c r="S1" s="35"/>
      <c r="T1" s="34" t="s">
        <v>0</v>
      </c>
      <c r="U1" s="34"/>
    </row>
    <row r="2" spans="1:21" ht="22.5" customHeight="1" x14ac:dyDescent="0.4">
      <c r="A2" s="34" t="s">
        <v>100</v>
      </c>
      <c r="B2" s="35"/>
      <c r="C2" s="36"/>
      <c r="D2" s="36"/>
      <c r="E2" s="36"/>
      <c r="F2" s="35"/>
      <c r="G2" s="148"/>
      <c r="H2" s="35"/>
      <c r="I2" s="35"/>
      <c r="J2" s="35"/>
      <c r="K2" s="35"/>
      <c r="L2" s="35"/>
      <c r="M2" s="35"/>
      <c r="N2" s="35"/>
      <c r="O2" s="35"/>
      <c r="P2" s="36"/>
      <c r="Q2" s="35"/>
      <c r="R2" s="35"/>
      <c r="S2" s="35"/>
      <c r="T2" s="34" t="s">
        <v>751</v>
      </c>
      <c r="U2" s="34"/>
    </row>
    <row r="3" spans="1:21" ht="21.75" customHeight="1" x14ac:dyDescent="0.4">
      <c r="A3" s="34" t="str">
        <f>'August''25 State of Activities'!B3</f>
        <v>Eight Months Ended August 31, 2025 and August 31, 2024</v>
      </c>
      <c r="B3" s="35"/>
      <c r="C3" s="36"/>
      <c r="D3" s="36"/>
      <c r="E3" s="36"/>
      <c r="F3" s="35"/>
      <c r="G3" s="148"/>
      <c r="H3" s="35"/>
      <c r="I3" s="35"/>
      <c r="J3" s="35"/>
      <c r="K3" s="35"/>
      <c r="L3" s="35"/>
      <c r="M3" s="35"/>
      <c r="N3" s="35"/>
      <c r="O3" s="35"/>
      <c r="P3" s="36"/>
      <c r="Q3" s="35"/>
      <c r="R3" s="35"/>
      <c r="S3" s="35"/>
      <c r="T3" s="34"/>
      <c r="U3" s="34"/>
    </row>
    <row r="4" spans="1:21" ht="22.5" customHeight="1" x14ac:dyDescent="0.4">
      <c r="A4" s="34"/>
      <c r="B4" s="35"/>
      <c r="C4" s="36"/>
      <c r="D4" s="36"/>
      <c r="E4" s="36"/>
      <c r="F4" s="35"/>
      <c r="G4" s="148"/>
      <c r="H4" s="35"/>
      <c r="I4" s="35"/>
      <c r="J4" s="35"/>
      <c r="K4" s="35"/>
      <c r="L4" s="35"/>
      <c r="M4" s="35"/>
      <c r="N4" s="35"/>
      <c r="O4" s="35"/>
      <c r="P4" s="36"/>
      <c r="Q4" s="35"/>
      <c r="R4" s="35"/>
      <c r="S4" s="35"/>
      <c r="T4" s="35"/>
      <c r="U4" s="35"/>
    </row>
    <row r="5" spans="1:21" s="38" customFormat="1" ht="8.25" customHeight="1" thickBot="1" x14ac:dyDescent="0.25">
      <c r="A5" s="37"/>
      <c r="B5" s="37"/>
      <c r="C5" s="37"/>
      <c r="D5" s="37"/>
      <c r="E5" s="37"/>
      <c r="F5" s="37"/>
      <c r="G5" s="149"/>
    </row>
    <row r="6" spans="1:21" s="41" customFormat="1" ht="24.75" customHeight="1" thickTop="1" thickBot="1" x14ac:dyDescent="0.25">
      <c r="A6" s="39" t="s">
        <v>3</v>
      </c>
      <c r="B6" s="39"/>
      <c r="C6" s="39"/>
      <c r="D6" s="39"/>
      <c r="E6" s="39"/>
      <c r="F6" s="39"/>
      <c r="G6" s="267"/>
      <c r="H6" s="156" t="s">
        <v>4</v>
      </c>
      <c r="I6" s="156"/>
      <c r="J6" s="812" t="s">
        <v>4</v>
      </c>
      <c r="K6" s="812"/>
      <c r="L6" s="812"/>
      <c r="M6" s="812"/>
      <c r="N6" s="40"/>
      <c r="O6" s="275" t="s">
        <v>5</v>
      </c>
      <c r="P6" s="272" t="s">
        <v>6</v>
      </c>
      <c r="Q6" s="40"/>
      <c r="R6" s="40"/>
      <c r="S6" s="40"/>
      <c r="T6" s="40"/>
      <c r="U6" s="40"/>
    </row>
    <row r="7" spans="1:21" s="43" customFormat="1" ht="8.25" customHeight="1" thickTop="1" x14ac:dyDescent="0.2">
      <c r="A7" s="42"/>
      <c r="B7" s="42"/>
      <c r="C7" s="42"/>
      <c r="D7" s="42"/>
      <c r="E7" s="42"/>
      <c r="F7" s="42"/>
      <c r="G7" s="150"/>
      <c r="P7" s="38"/>
    </row>
    <row r="8" spans="1:21" ht="21" thickBot="1" x14ac:dyDescent="0.35">
      <c r="A8" s="44"/>
      <c r="B8" s="97" t="s">
        <v>7</v>
      </c>
      <c r="C8" s="97"/>
      <c r="D8" s="97"/>
      <c r="E8" s="97"/>
      <c r="F8" s="97"/>
      <c r="G8" s="186">
        <v>41090</v>
      </c>
      <c r="H8" s="186">
        <v>41274</v>
      </c>
      <c r="I8" s="223"/>
      <c r="J8" s="186" t="str">
        <f>'August''25 State of Activities'!H8</f>
        <v>August 31 2025</v>
      </c>
      <c r="K8" s="443">
        <v>45291</v>
      </c>
      <c r="L8" s="223"/>
      <c r="M8" s="443" t="str">
        <f>'August''25 State of Activities'!K8</f>
        <v>August 31 2024</v>
      </c>
      <c r="O8" s="884" t="s">
        <v>752</v>
      </c>
      <c r="P8" s="884"/>
      <c r="S8" s="97" t="s">
        <v>7</v>
      </c>
      <c r="T8" s="97"/>
      <c r="U8" s="700" t="s">
        <v>753</v>
      </c>
    </row>
    <row r="9" spans="1:21" s="43" customFormat="1" ht="20.25" x14ac:dyDescent="0.2">
      <c r="A9" s="42"/>
      <c r="B9" s="42"/>
      <c r="C9" s="46" t="s">
        <v>14</v>
      </c>
      <c r="D9" s="46"/>
      <c r="E9" s="46"/>
      <c r="F9" s="42"/>
      <c r="G9" s="150">
        <v>127719</v>
      </c>
      <c r="H9" s="150">
        <v>67566.5</v>
      </c>
      <c r="I9" s="150"/>
      <c r="J9" s="159">
        <f>'August''25 State of Activities'!H9</f>
        <v>135426.89000000001</v>
      </c>
      <c r="K9" s="159">
        <f>'August''25 State of Activities'!I9</f>
        <v>187799</v>
      </c>
      <c r="L9" s="159"/>
      <c r="M9" s="159">
        <f>'August''25 State of Activities'!K9</f>
        <v>119920.82</v>
      </c>
      <c r="O9" s="260">
        <f>J9-K9</f>
        <v>-52372.109999999986</v>
      </c>
      <c r="P9" s="675">
        <f>(J9-K9)/K9</f>
        <v>-0.27887321018748762</v>
      </c>
      <c r="T9" s="46" t="str">
        <f>C9</f>
        <v xml:space="preserve">Transportation - Medicaid </v>
      </c>
      <c r="U9" s="159">
        <f>AVERAGE(J9:K9)+35000</f>
        <v>196612.94500000001</v>
      </c>
    </row>
    <row r="10" spans="1:21" s="43" customFormat="1" ht="20.25" x14ac:dyDescent="0.2">
      <c r="A10" s="42"/>
      <c r="B10" s="42"/>
      <c r="C10" s="46" t="s">
        <v>102</v>
      </c>
      <c r="D10" s="46"/>
      <c r="E10" s="46"/>
      <c r="F10" s="42"/>
      <c r="G10" s="159">
        <v>875436</v>
      </c>
      <c r="H10" s="159">
        <v>372424.1</v>
      </c>
      <c r="I10" s="159"/>
      <c r="J10" s="150">
        <f>342*12</f>
        <v>4104</v>
      </c>
      <c r="K10" s="150">
        <v>8019</v>
      </c>
      <c r="L10" s="159"/>
      <c r="M10" s="150">
        <v>3622.53</v>
      </c>
      <c r="O10" s="334">
        <f>J10-K10</f>
        <v>-3915</v>
      </c>
      <c r="P10" s="675">
        <f>(J10-K10)/K10</f>
        <v>-0.48821548821548821</v>
      </c>
      <c r="T10" s="46" t="str">
        <f t="shared" ref="T10:T60" si="0">C10</f>
        <v>Grants - New York State - Rural Health Network</v>
      </c>
      <c r="U10" s="150">
        <v>4100</v>
      </c>
    </row>
    <row r="11" spans="1:21" s="43" customFormat="1" ht="20.25" x14ac:dyDescent="0.2">
      <c r="A11" s="42"/>
      <c r="B11" s="42"/>
      <c r="C11" s="46" t="s">
        <v>103</v>
      </c>
      <c r="D11" s="46"/>
      <c r="E11" s="46"/>
      <c r="F11" s="42"/>
      <c r="G11" s="159"/>
      <c r="H11" s="159"/>
      <c r="I11" s="159"/>
      <c r="J11" s="150"/>
      <c r="K11" s="150">
        <v>15310</v>
      </c>
      <c r="L11" s="159"/>
      <c r="M11" s="150"/>
      <c r="O11" s="334">
        <f>J11-K11</f>
        <v>-15310</v>
      </c>
      <c r="P11" s="675">
        <f>(J11-K11)/K11</f>
        <v>-1</v>
      </c>
      <c r="T11" s="46" t="str">
        <f t="shared" si="0"/>
        <v>Grants - New York State - Assoc for Rural Health</v>
      </c>
      <c r="U11" s="150">
        <f>15310-8000</f>
        <v>7310</v>
      </c>
    </row>
    <row r="12" spans="1:21" s="43" customFormat="1" ht="20.25" x14ac:dyDescent="0.2">
      <c r="A12" s="42"/>
      <c r="B12" s="42"/>
      <c r="C12" s="46" t="s">
        <v>16</v>
      </c>
      <c r="D12" s="46"/>
      <c r="E12" s="46"/>
      <c r="F12" s="42"/>
      <c r="G12" s="150"/>
      <c r="H12" s="150"/>
      <c r="I12" s="150"/>
      <c r="J12" s="150"/>
      <c r="K12" s="150"/>
      <c r="L12" s="150"/>
      <c r="M12" s="150"/>
      <c r="O12" s="334"/>
      <c r="P12" s="279"/>
      <c r="T12" s="701" t="str">
        <f t="shared" si="0"/>
        <v>Columbia County Departments</v>
      </c>
      <c r="U12" s="150"/>
    </row>
    <row r="13" spans="1:21" s="43" customFormat="1" ht="20.25" x14ac:dyDescent="0.2">
      <c r="A13" s="42"/>
      <c r="B13" s="42"/>
      <c r="D13" s="46" t="s">
        <v>104</v>
      </c>
      <c r="E13" s="46"/>
      <c r="F13" s="42"/>
      <c r="G13" s="150">
        <v>94235.25</v>
      </c>
      <c r="H13" s="150">
        <v>37190.379999999997</v>
      </c>
      <c r="I13" s="150"/>
      <c r="J13" s="150" t="e">
        <f>'August''25 Revenues &amp; Expenses'!#REF!</f>
        <v>#REF!</v>
      </c>
      <c r="K13" s="150">
        <v>47500</v>
      </c>
      <c r="L13" s="150"/>
      <c r="M13" s="150">
        <v>39583</v>
      </c>
      <c r="O13" s="334" t="e">
        <f t="shared" ref="O13:O22" si="1">J13-K13</f>
        <v>#REF!</v>
      </c>
      <c r="P13" s="675" t="e">
        <f t="shared" ref="P13:P20" si="2">(J13-K13)/K13</f>
        <v>#REF!</v>
      </c>
      <c r="T13" s="701" t="s">
        <v>710</v>
      </c>
      <c r="U13" s="150">
        <v>51500</v>
      </c>
    </row>
    <row r="14" spans="1:21" s="43" customFormat="1" ht="20.25" x14ac:dyDescent="0.2">
      <c r="A14" s="42"/>
      <c r="B14" s="42"/>
      <c r="D14" s="46" t="s">
        <v>18</v>
      </c>
      <c r="E14" s="46"/>
      <c r="F14" s="42"/>
      <c r="G14" s="150"/>
      <c r="H14" s="150"/>
      <c r="I14" s="150"/>
      <c r="J14" s="150">
        <f>'August''25 Revenues &amp; Expenses'!J16</f>
        <v>9000</v>
      </c>
      <c r="K14" s="150">
        <v>18000</v>
      </c>
      <c r="L14" s="150"/>
      <c r="M14" s="150">
        <f>'August''25 State of Activities'!K17</f>
        <v>12000</v>
      </c>
      <c r="O14" s="334">
        <f t="shared" si="1"/>
        <v>-9000</v>
      </c>
      <c r="P14" s="675">
        <f t="shared" si="2"/>
        <v>-0.5</v>
      </c>
      <c r="T14" s="46" t="s">
        <v>18</v>
      </c>
      <c r="U14" s="150">
        <v>18000</v>
      </c>
    </row>
    <row r="15" spans="1:21" s="43" customFormat="1" ht="20.25" x14ac:dyDescent="0.2">
      <c r="A15" s="42"/>
      <c r="B15" s="42"/>
      <c r="C15" s="46" t="s">
        <v>105</v>
      </c>
      <c r="D15" s="46"/>
      <c r="E15" s="46"/>
      <c r="F15" s="42"/>
      <c r="G15" s="150">
        <v>0</v>
      </c>
      <c r="H15" s="150">
        <v>3517</v>
      </c>
      <c r="I15" s="150"/>
      <c r="J15" s="150">
        <f>'August''25 State of Activities'!H20</f>
        <v>10108.5</v>
      </c>
      <c r="K15" s="150">
        <v>23822</v>
      </c>
      <c r="L15" s="150"/>
      <c r="M15" s="150">
        <v>19841</v>
      </c>
      <c r="O15" s="334">
        <f t="shared" si="1"/>
        <v>-13713.5</v>
      </c>
      <c r="P15" s="675">
        <f t="shared" si="2"/>
        <v>-0.57566535135588948</v>
      </c>
      <c r="T15" s="46" t="str">
        <f t="shared" si="0"/>
        <v>Donations - Transportation</v>
      </c>
      <c r="U15" s="150">
        <v>20000</v>
      </c>
    </row>
    <row r="16" spans="1:21" s="43" customFormat="1" ht="20.25" x14ac:dyDescent="0.2">
      <c r="A16" s="42"/>
      <c r="B16" s="42"/>
      <c r="C16" s="46" t="s">
        <v>712</v>
      </c>
      <c r="D16" s="46"/>
      <c r="E16" s="46"/>
      <c r="F16" s="42"/>
      <c r="G16" s="150"/>
      <c r="H16" s="150"/>
      <c r="I16" s="150"/>
      <c r="J16" s="150">
        <f>8377.37</f>
        <v>8377.3700000000008</v>
      </c>
      <c r="K16" s="150">
        <v>25432</v>
      </c>
      <c r="L16" s="150"/>
      <c r="M16" s="150">
        <v>24284</v>
      </c>
      <c r="O16" s="334">
        <f t="shared" si="1"/>
        <v>-17054.629999999997</v>
      </c>
      <c r="P16" s="675">
        <f t="shared" si="2"/>
        <v>-0.67059727901855914</v>
      </c>
      <c r="T16" s="46" t="str">
        <f t="shared" si="0"/>
        <v>Fundraising Event</v>
      </c>
      <c r="U16" s="150">
        <v>8500</v>
      </c>
    </row>
    <row r="17" spans="1:21" s="43" customFormat="1" ht="20.25" x14ac:dyDescent="0.2">
      <c r="A17" s="42"/>
      <c r="B17" s="42"/>
      <c r="C17" s="46" t="s">
        <v>715</v>
      </c>
      <c r="D17" s="46"/>
      <c r="E17" s="46"/>
      <c r="F17" s="42"/>
      <c r="G17" s="150">
        <v>31459</v>
      </c>
      <c r="H17" s="150">
        <v>13920.35</v>
      </c>
      <c r="I17" s="150"/>
      <c r="J17" s="150" t="e">
        <f>'August''25 Revenues &amp; Expenses'!#REF!</f>
        <v>#REF!</v>
      </c>
      <c r="K17" s="150">
        <v>27500</v>
      </c>
      <c r="L17" s="150"/>
      <c r="M17" s="150">
        <v>22757</v>
      </c>
      <c r="O17" s="334" t="e">
        <f t="shared" si="1"/>
        <v>#REF!</v>
      </c>
      <c r="P17" s="675" t="e">
        <f t="shared" si="2"/>
        <v>#REF!</v>
      </c>
      <c r="T17" s="46" t="str">
        <f t="shared" si="0"/>
        <v>Foundation Revenue-FCH-Sharon/Ancram/Copake</v>
      </c>
      <c r="U17" s="150">
        <v>25000</v>
      </c>
    </row>
    <row r="18" spans="1:21" s="43" customFormat="1" ht="20.25" x14ac:dyDescent="0.2">
      <c r="A18" s="42"/>
      <c r="B18" s="42"/>
      <c r="C18" s="46" t="s">
        <v>716</v>
      </c>
      <c r="D18" s="46"/>
      <c r="E18" s="46"/>
      <c r="F18" s="42"/>
      <c r="G18" s="150"/>
      <c r="H18" s="150"/>
      <c r="I18" s="150"/>
      <c r="J18" s="150">
        <v>47861.39</v>
      </c>
      <c r="K18" s="150">
        <v>23872</v>
      </c>
      <c r="L18" s="150"/>
      <c r="M18" s="150">
        <v>18492</v>
      </c>
      <c r="O18" s="334">
        <f t="shared" si="1"/>
        <v>23989.39</v>
      </c>
      <c r="P18" s="675">
        <f t="shared" si="2"/>
        <v>1.0049174765415549</v>
      </c>
      <c r="T18" s="46" t="str">
        <f t="shared" si="0"/>
        <v>Foundation Revenue-Dyson Foundation</v>
      </c>
      <c r="U18" s="150">
        <f>55000*(J18/65000)</f>
        <v>40498.099230769229</v>
      </c>
    </row>
    <row r="19" spans="1:21" s="43" customFormat="1" ht="20.25" x14ac:dyDescent="0.2">
      <c r="A19" s="42"/>
      <c r="B19" s="42"/>
      <c r="C19" s="46" t="s">
        <v>754</v>
      </c>
      <c r="D19" s="46"/>
      <c r="E19" s="46"/>
      <c r="F19" s="42"/>
      <c r="G19" s="150"/>
      <c r="H19" s="150"/>
      <c r="I19" s="150"/>
      <c r="J19" s="150">
        <v>0</v>
      </c>
      <c r="K19" s="150">
        <v>50000</v>
      </c>
      <c r="L19" s="150"/>
      <c r="M19" s="150">
        <v>41667</v>
      </c>
      <c r="O19" s="334">
        <f t="shared" si="1"/>
        <v>-50000</v>
      </c>
      <c r="P19" s="675">
        <f t="shared" si="2"/>
        <v>-1</v>
      </c>
      <c r="T19" s="46" t="str">
        <f t="shared" si="0"/>
        <v>Foundation Revenue-RipVan Winkle Foundation</v>
      </c>
      <c r="U19" s="150"/>
    </row>
    <row r="20" spans="1:21" s="43" customFormat="1" ht="20.25" x14ac:dyDescent="0.2">
      <c r="A20" s="42"/>
      <c r="B20" s="42"/>
      <c r="C20" s="46" t="s">
        <v>717</v>
      </c>
      <c r="D20" s="46"/>
      <c r="E20" s="46"/>
      <c r="F20" s="42"/>
      <c r="G20" s="150"/>
      <c r="H20" s="150"/>
      <c r="I20" s="150"/>
      <c r="J20" s="150">
        <f>50000/12*12</f>
        <v>50000</v>
      </c>
      <c r="K20" s="150">
        <v>50000</v>
      </c>
      <c r="L20" s="150"/>
      <c r="M20" s="150">
        <v>35714</v>
      </c>
      <c r="O20" s="334">
        <f t="shared" si="1"/>
        <v>0</v>
      </c>
      <c r="P20" s="675">
        <f t="shared" si="2"/>
        <v>0</v>
      </c>
      <c r="T20" s="46" t="str">
        <f t="shared" si="0"/>
        <v>Foundation Revenue-The Home for the Aged</v>
      </c>
    </row>
    <row r="21" spans="1:21" s="43" customFormat="1" ht="20.25" x14ac:dyDescent="0.2">
      <c r="A21" s="42"/>
      <c r="B21" s="42"/>
      <c r="C21" s="46" t="s">
        <v>719</v>
      </c>
      <c r="D21" s="46"/>
      <c r="E21" s="46"/>
      <c r="F21" s="42"/>
      <c r="G21" s="150"/>
      <c r="H21" s="150"/>
      <c r="I21" s="150"/>
      <c r="J21" s="150" t="e">
        <f>'August''25 Revenues &amp; Expenses'!#REF!</f>
        <v>#REF!</v>
      </c>
      <c r="K21" s="150">
        <v>0</v>
      </c>
      <c r="L21" s="150"/>
      <c r="M21" s="150"/>
      <c r="O21" s="334" t="e">
        <f t="shared" si="1"/>
        <v>#REF!</v>
      </c>
      <c r="P21" s="675">
        <v>1</v>
      </c>
      <c r="T21" s="46" t="str">
        <f t="shared" si="0"/>
        <v xml:space="preserve">Foundation Revenue-Mother Cabrini </v>
      </c>
      <c r="U21" s="150">
        <v>125000</v>
      </c>
    </row>
    <row r="22" spans="1:21" s="43" customFormat="1" ht="20.25" x14ac:dyDescent="0.2">
      <c r="A22" s="42"/>
      <c r="B22" s="42"/>
      <c r="C22" s="46" t="s">
        <v>720</v>
      </c>
      <c r="D22" s="46"/>
      <c r="E22" s="46"/>
      <c r="F22" s="42"/>
      <c r="G22" s="150"/>
      <c r="H22" s="150"/>
      <c r="I22" s="150"/>
      <c r="J22" s="150">
        <f>'August''25 Revenues &amp; Expenses'!I44</f>
        <v>12499.98</v>
      </c>
      <c r="K22" s="150">
        <v>0</v>
      </c>
      <c r="L22" s="150"/>
      <c r="M22" s="150"/>
      <c r="O22" s="334">
        <f t="shared" si="1"/>
        <v>12499.98</v>
      </c>
      <c r="P22" s="675">
        <v>1</v>
      </c>
      <c r="T22" s="46" t="str">
        <f t="shared" si="0"/>
        <v>Foundation Revenue-Hudson River Bank &amp; Trust</v>
      </c>
      <c r="U22" s="150">
        <f>'August''25 Revenues &amp; Expenses'!J44+('August''25 Revenues &amp; Expenses'!J45*3/12)</f>
        <v>1041.6866666666665</v>
      </c>
    </row>
    <row r="23" spans="1:21" s="43" customFormat="1" ht="20.25" x14ac:dyDescent="0.2">
      <c r="A23" s="42"/>
      <c r="B23" s="42"/>
      <c r="C23" s="46" t="s">
        <v>397</v>
      </c>
      <c r="D23" s="46"/>
      <c r="E23" s="46"/>
      <c r="F23" s="42"/>
      <c r="G23" s="150"/>
      <c r="H23" s="150"/>
      <c r="I23" s="150"/>
      <c r="J23" s="150">
        <v>120</v>
      </c>
      <c r="K23" s="150">
        <v>150</v>
      </c>
      <c r="L23" s="150"/>
      <c r="M23" s="150">
        <v>90</v>
      </c>
      <c r="O23" s="334">
        <f>J23-K23</f>
        <v>-30</v>
      </c>
      <c r="P23" s="675">
        <f>(J23-K23)/K23</f>
        <v>-0.2</v>
      </c>
      <c r="T23" s="46" t="str">
        <f t="shared" si="0"/>
        <v>Columbia Memorial Hospital</v>
      </c>
      <c r="U23" s="150">
        <v>100</v>
      </c>
    </row>
    <row r="24" spans="1:21" s="43" customFormat="1" ht="20.25" customHeight="1" x14ac:dyDescent="0.2">
      <c r="A24" s="42"/>
      <c r="B24" s="42"/>
      <c r="C24" s="814" t="s">
        <v>723</v>
      </c>
      <c r="D24" s="814"/>
      <c r="E24" s="814"/>
      <c r="F24" s="814"/>
      <c r="G24" s="150"/>
      <c r="H24" s="150"/>
      <c r="I24" s="150"/>
      <c r="J24" s="150">
        <v>0</v>
      </c>
      <c r="K24" s="150">
        <v>940</v>
      </c>
      <c r="L24" s="150"/>
      <c r="M24" s="150">
        <v>940</v>
      </c>
      <c r="O24" s="334">
        <f>J24-K24</f>
        <v>-940</v>
      </c>
      <c r="P24" s="675">
        <f>(J24-K24)/K24</f>
        <v>-1</v>
      </c>
      <c r="T24" s="46" t="str">
        <f t="shared" si="0"/>
        <v>Greene County - Dept Human Services</v>
      </c>
      <c r="U24" s="150"/>
    </row>
    <row r="25" spans="1:21" s="43" customFormat="1" ht="20.25" x14ac:dyDescent="0.2">
      <c r="A25" s="42"/>
      <c r="B25" s="42"/>
      <c r="C25" s="46" t="s">
        <v>724</v>
      </c>
      <c r="D25" s="46"/>
      <c r="E25" s="46"/>
      <c r="F25" s="42"/>
      <c r="G25" s="150">
        <v>1125</v>
      </c>
      <c r="H25" s="150">
        <v>6050</v>
      </c>
      <c r="I25" s="150"/>
      <c r="J25" s="150">
        <v>0</v>
      </c>
      <c r="K25" s="150">
        <v>0</v>
      </c>
      <c r="L25" s="150"/>
      <c r="M25" s="150">
        <v>0</v>
      </c>
      <c r="O25" s="334">
        <f t="shared" ref="O25:O28" si="3">J25-M25</f>
        <v>0</v>
      </c>
      <c r="P25" s="675"/>
      <c r="T25" s="46" t="str">
        <f t="shared" si="0"/>
        <v>Gain (Loss) on Sale of Vehicle</v>
      </c>
      <c r="U25" s="150"/>
    </row>
    <row r="26" spans="1:21" s="43" customFormat="1" ht="21" thickBot="1" x14ac:dyDescent="0.25">
      <c r="A26" s="42"/>
      <c r="B26" s="42"/>
      <c r="C26" s="46" t="s">
        <v>108</v>
      </c>
      <c r="D26" s="46"/>
      <c r="E26" s="46"/>
      <c r="F26" s="42"/>
      <c r="G26" s="157">
        <v>31250</v>
      </c>
      <c r="H26" s="157">
        <v>15624.98</v>
      </c>
      <c r="I26" s="150"/>
      <c r="J26" s="157" t="e">
        <f>'August''25 State of Activities'!#REF!*0.2</f>
        <v>#REF!</v>
      </c>
      <c r="K26" s="157">
        <f>'[4]December''21 State of Activities'!H26*0.2</f>
        <v>10548</v>
      </c>
      <c r="L26" s="150"/>
      <c r="M26" s="157" t="e">
        <f>'August''25 State of Activities'!#REF!*0.2</f>
        <v>#REF!</v>
      </c>
      <c r="O26" s="157" t="e">
        <f>J26-K26</f>
        <v>#REF!</v>
      </c>
      <c r="P26" s="677" t="e">
        <f>(J26-K26)/K26</f>
        <v>#REF!</v>
      </c>
      <c r="T26" s="46" t="str">
        <f t="shared" si="0"/>
        <v>In-Kind Rent - Columbia County (20%)</v>
      </c>
      <c r="U26" s="157">
        <f>K26</f>
        <v>10548</v>
      </c>
    </row>
    <row r="27" spans="1:21" s="43" customFormat="1" ht="20.25" x14ac:dyDescent="0.2">
      <c r="A27" s="42"/>
      <c r="B27" s="42"/>
      <c r="C27" s="46"/>
      <c r="D27" s="42" t="s">
        <v>33</v>
      </c>
      <c r="E27" s="46"/>
      <c r="F27" s="42"/>
      <c r="G27" s="150">
        <v>1161224.25</v>
      </c>
      <c r="H27" s="150">
        <v>516293.30999999994</v>
      </c>
      <c r="I27" s="150"/>
      <c r="J27" s="150" t="e">
        <f>SUM(J9:J26)</f>
        <v>#REF!</v>
      </c>
      <c r="K27" s="150">
        <f>SUM(K9:K26)</f>
        <v>488892</v>
      </c>
      <c r="L27" s="150"/>
      <c r="M27" s="150" t="e">
        <f>SUM(M9:M26)</f>
        <v>#REF!</v>
      </c>
      <c r="O27" s="181" t="e">
        <f>J27-K27</f>
        <v>#REF!</v>
      </c>
      <c r="P27" s="675" t="e">
        <f>(J27-K27)/K27</f>
        <v>#REF!</v>
      </c>
      <c r="T27" s="704" t="s">
        <v>33</v>
      </c>
      <c r="U27" s="150">
        <f>SUM(U9:U26)</f>
        <v>508210.73089743586</v>
      </c>
    </row>
    <row r="28" spans="1:21" s="43" customFormat="1" ht="21" thickBot="1" x14ac:dyDescent="0.25">
      <c r="A28" s="42"/>
      <c r="B28" s="42"/>
      <c r="C28" s="42" t="s">
        <v>109</v>
      </c>
      <c r="D28" s="46"/>
      <c r="E28" s="46"/>
      <c r="F28" s="42"/>
      <c r="G28" s="157">
        <v>150176</v>
      </c>
      <c r="H28" s="157">
        <v>47700.27</v>
      </c>
      <c r="I28" s="150"/>
      <c r="J28" s="150">
        <f>21000/12*12</f>
        <v>21000</v>
      </c>
      <c r="K28" s="150">
        <v>21000</v>
      </c>
      <c r="L28" s="150"/>
      <c r="M28" s="150">
        <f>J28</f>
        <v>21000</v>
      </c>
      <c r="O28" s="334">
        <f t="shared" si="3"/>
        <v>0</v>
      </c>
      <c r="P28" s="675">
        <f>(J28-K28)/K28</f>
        <v>0</v>
      </c>
      <c r="T28" s="42" t="str">
        <f t="shared" si="0"/>
        <v>Assets Released from Restrictions-CC Depts.</v>
      </c>
      <c r="U28" s="150">
        <f>J28</f>
        <v>21000</v>
      </c>
    </row>
    <row r="29" spans="1:21" s="43" customFormat="1" ht="21" thickBot="1" x14ac:dyDescent="0.25">
      <c r="A29" s="42"/>
      <c r="B29" s="42"/>
      <c r="C29" s="42" t="s">
        <v>110</v>
      </c>
      <c r="D29" s="46"/>
      <c r="E29" s="46"/>
      <c r="F29" s="42"/>
      <c r="G29" s="150"/>
      <c r="H29" s="150"/>
      <c r="I29" s="150"/>
      <c r="J29" s="157">
        <v>23849</v>
      </c>
      <c r="K29" s="157">
        <v>33956</v>
      </c>
      <c r="L29" s="150"/>
      <c r="M29" s="157">
        <v>27862</v>
      </c>
      <c r="O29" s="157">
        <f>J29-K29</f>
        <v>-10107</v>
      </c>
      <c r="P29" s="677">
        <f>(J29-K29)/K29</f>
        <v>-0.29764989987042056</v>
      </c>
      <c r="T29" s="42" t="str">
        <f t="shared" si="0"/>
        <v>Assets Released from Restrictions-Columbia Cty</v>
      </c>
      <c r="U29" s="157">
        <v>22000</v>
      </c>
    </row>
    <row r="30" spans="1:21" s="43" customFormat="1" ht="20.25" x14ac:dyDescent="0.2">
      <c r="A30" s="42"/>
      <c r="B30" s="42"/>
      <c r="C30" s="46"/>
      <c r="D30" s="42" t="s">
        <v>111</v>
      </c>
      <c r="E30" s="46"/>
      <c r="F30" s="42"/>
      <c r="G30" s="150">
        <v>1311400.25</v>
      </c>
      <c r="H30" s="150">
        <v>563993.57999999996</v>
      </c>
      <c r="I30" s="150"/>
      <c r="J30" s="150" t="e">
        <f>SUM(J27:J29)</f>
        <v>#REF!</v>
      </c>
      <c r="K30" s="150">
        <f>SUM(K27:K29)</f>
        <v>543848</v>
      </c>
      <c r="L30" s="150"/>
      <c r="M30" s="150" t="e">
        <f>SUM(M27:M29)</f>
        <v>#REF!</v>
      </c>
      <c r="O30" s="181" t="e">
        <f>J30-K30</f>
        <v>#REF!</v>
      </c>
      <c r="P30" s="675" t="e">
        <f>(J30-K30)/K30</f>
        <v>#REF!</v>
      </c>
      <c r="T30" s="704" t="s">
        <v>111</v>
      </c>
      <c r="U30" s="150">
        <f>SUM(U27:U29)</f>
        <v>551210.73089743592</v>
      </c>
    </row>
    <row r="31" spans="1:21" s="43" customFormat="1" ht="20.25" x14ac:dyDescent="0.2">
      <c r="A31" s="42"/>
      <c r="B31" s="42"/>
      <c r="C31" s="46"/>
      <c r="D31" s="42"/>
      <c r="E31" s="46"/>
      <c r="F31" s="42"/>
      <c r="G31" s="150"/>
      <c r="H31" s="150"/>
      <c r="I31" s="150"/>
      <c r="J31" s="150"/>
      <c r="K31" s="400"/>
      <c r="L31" s="150"/>
      <c r="M31" s="150"/>
      <c r="P31" s="38"/>
      <c r="T31" s="46"/>
      <c r="U31" s="150"/>
    </row>
    <row r="32" spans="1:21" s="43" customFormat="1" ht="21" thickBot="1" x14ac:dyDescent="0.25">
      <c r="A32" s="42"/>
      <c r="B32" s="54" t="s">
        <v>34</v>
      </c>
      <c r="C32" s="54"/>
      <c r="D32" s="54"/>
      <c r="E32" s="54"/>
      <c r="F32" s="54"/>
      <c r="G32" s="157"/>
      <c r="J32" s="150"/>
      <c r="P32" s="38"/>
      <c r="S32" s="54" t="s">
        <v>34</v>
      </c>
      <c r="T32" s="54"/>
      <c r="U32" s="150"/>
    </row>
    <row r="33" spans="1:21" s="43" customFormat="1" ht="20.25" x14ac:dyDescent="0.2">
      <c r="A33" s="42"/>
      <c r="B33" s="42"/>
      <c r="C33" s="46" t="s">
        <v>114</v>
      </c>
      <c r="D33" s="46"/>
      <c r="E33" s="46"/>
      <c r="F33" s="46"/>
      <c r="G33" s="150">
        <v>733747.79999999993</v>
      </c>
      <c r="H33" s="181">
        <v>361976</v>
      </c>
      <c r="I33" s="181"/>
      <c r="J33" s="150"/>
      <c r="K33" s="181"/>
      <c r="L33" s="181"/>
      <c r="M33" s="181"/>
      <c r="P33" s="38"/>
      <c r="T33" s="46" t="str">
        <f t="shared" si="0"/>
        <v>Salaries and Payroll Taxes &amp; Fringe</v>
      </c>
      <c r="U33" s="150"/>
    </row>
    <row r="34" spans="1:21" s="43" customFormat="1" ht="20.25" x14ac:dyDescent="0.2">
      <c r="A34" s="42"/>
      <c r="B34" s="42"/>
      <c r="C34" s="46"/>
      <c r="D34" s="814" t="s">
        <v>115</v>
      </c>
      <c r="E34" s="814"/>
      <c r="F34" s="814"/>
      <c r="G34" s="150"/>
      <c r="H34" s="181"/>
      <c r="I34" s="181"/>
      <c r="J34" s="150">
        <v>237849.39</v>
      </c>
      <c r="K34" s="150">
        <v>227733.03</v>
      </c>
      <c r="L34" s="181"/>
      <c r="M34" s="150">
        <v>192858.9</v>
      </c>
      <c r="O34" s="334">
        <f t="shared" ref="O34:O55" si="4">J34-K34</f>
        <v>10116.360000000015</v>
      </c>
      <c r="P34" s="675">
        <f t="shared" ref="P34:P57" si="5">(J34-K34)/K34</f>
        <v>4.442201467218003E-2</v>
      </c>
      <c r="T34" s="683" t="s">
        <v>115</v>
      </c>
      <c r="U34" s="150">
        <f>240651</f>
        <v>240651</v>
      </c>
    </row>
    <row r="35" spans="1:21" s="43" customFormat="1" ht="20.25" x14ac:dyDescent="0.2">
      <c r="A35" s="42"/>
      <c r="B35" s="42"/>
      <c r="C35" s="46"/>
      <c r="D35" s="814" t="s">
        <v>117</v>
      </c>
      <c r="E35" s="814"/>
      <c r="F35" s="814"/>
      <c r="G35" s="150"/>
      <c r="H35" s="181"/>
      <c r="I35" s="181"/>
      <c r="J35" s="150">
        <f>54998.14+52848.91</f>
        <v>107847.05</v>
      </c>
      <c r="K35" s="150">
        <f>49366.82+33409.92</f>
        <v>82776.739999999991</v>
      </c>
      <c r="L35" s="181"/>
      <c r="M35" s="150">
        <f>40907.78+26517.32</f>
        <v>67425.100000000006</v>
      </c>
      <c r="O35" s="334">
        <f t="shared" si="4"/>
        <v>25070.310000000012</v>
      </c>
      <c r="P35" s="675">
        <f t="shared" si="5"/>
        <v>0.30286660238129715</v>
      </c>
      <c r="T35" s="683" t="s">
        <v>727</v>
      </c>
      <c r="U35" s="150">
        <v>110000</v>
      </c>
    </row>
    <row r="36" spans="1:21" s="43" customFormat="1" ht="20.25" x14ac:dyDescent="0.2">
      <c r="A36" s="42"/>
      <c r="B36" s="42"/>
      <c r="C36" s="46"/>
      <c r="D36" s="814" t="s">
        <v>36</v>
      </c>
      <c r="E36" s="814"/>
      <c r="F36" s="814"/>
      <c r="G36" s="150"/>
      <c r="H36" s="181"/>
      <c r="I36" s="181"/>
      <c r="J36" s="150">
        <v>65845.509999999995</v>
      </c>
      <c r="K36" s="150">
        <v>55442.07</v>
      </c>
      <c r="L36" s="181"/>
      <c r="M36" s="150">
        <f>M34*0.213+M35*0.14</f>
        <v>50518.459699999999</v>
      </c>
      <c r="O36" s="334">
        <f t="shared" si="4"/>
        <v>10403.439999999995</v>
      </c>
      <c r="P36" s="675">
        <f t="shared" si="5"/>
        <v>0.18764523041798395</v>
      </c>
      <c r="R36" s="699"/>
      <c r="T36" s="683" t="s">
        <v>36</v>
      </c>
      <c r="U36" s="150">
        <f>0.19*SUM(U34:U35)</f>
        <v>66623.69</v>
      </c>
    </row>
    <row r="37" spans="1:21" s="43" customFormat="1" ht="20.25" x14ac:dyDescent="0.2">
      <c r="A37" s="42"/>
      <c r="B37" s="42"/>
      <c r="C37" s="46" t="s">
        <v>118</v>
      </c>
      <c r="D37" s="46"/>
      <c r="E37" s="46"/>
      <c r="F37" s="46"/>
      <c r="G37" s="150">
        <v>44745.18</v>
      </c>
      <c r="H37" s="150">
        <v>20974.21</v>
      </c>
      <c r="I37" s="150"/>
      <c r="J37" s="493"/>
      <c r="K37" s="493"/>
      <c r="L37" s="493"/>
      <c r="M37" s="493"/>
      <c r="O37" s="334">
        <f t="shared" si="4"/>
        <v>0</v>
      </c>
      <c r="P37" s="675"/>
      <c r="T37" s="46" t="str">
        <f t="shared" si="0"/>
        <v xml:space="preserve">Transportation Services </v>
      </c>
      <c r="U37" s="493"/>
    </row>
    <row r="38" spans="1:21" s="43" customFormat="1" ht="20.25" x14ac:dyDescent="0.2">
      <c r="A38" s="42"/>
      <c r="B38" s="42"/>
      <c r="C38" s="46"/>
      <c r="D38" s="814" t="s">
        <v>119</v>
      </c>
      <c r="E38" s="814"/>
      <c r="F38" s="814"/>
      <c r="G38" s="150"/>
      <c r="H38" s="150"/>
      <c r="I38" s="150"/>
      <c r="J38" s="150">
        <v>30153.51</v>
      </c>
      <c r="K38" s="150">
        <v>31525.11</v>
      </c>
      <c r="L38" s="150"/>
      <c r="M38" s="150">
        <v>27258.59</v>
      </c>
      <c r="O38" s="334">
        <f t="shared" si="4"/>
        <v>-1371.6000000000022</v>
      </c>
      <c r="P38" s="675">
        <f t="shared" si="5"/>
        <v>-4.3508174911998793E-2</v>
      </c>
      <c r="T38" s="683" t="s">
        <v>728</v>
      </c>
      <c r="U38" s="150">
        <f>AVERAGE(J38:K38)</f>
        <v>30839.309999999998</v>
      </c>
    </row>
    <row r="39" spans="1:21" s="43" customFormat="1" ht="20.25" x14ac:dyDescent="0.2">
      <c r="A39" s="42"/>
      <c r="B39" s="42"/>
      <c r="C39" s="46"/>
      <c r="D39" s="814" t="s">
        <v>120</v>
      </c>
      <c r="E39" s="814"/>
      <c r="F39" s="814"/>
      <c r="G39" s="150"/>
      <c r="H39" s="150"/>
      <c r="I39" s="150"/>
      <c r="J39" s="150">
        <v>14326.95</v>
      </c>
      <c r="K39" s="150">
        <v>13289.95</v>
      </c>
      <c r="L39" s="150"/>
      <c r="M39" s="150">
        <v>11427.11</v>
      </c>
      <c r="O39" s="334">
        <f t="shared" si="4"/>
        <v>1037</v>
      </c>
      <c r="P39" s="675">
        <f t="shared" si="5"/>
        <v>7.8028886489414931E-2</v>
      </c>
      <c r="T39" s="683" t="s">
        <v>120</v>
      </c>
      <c r="U39" s="150">
        <v>18807</v>
      </c>
    </row>
    <row r="40" spans="1:21" s="43" customFormat="1" ht="20.25" x14ac:dyDescent="0.2">
      <c r="A40" s="42"/>
      <c r="B40" s="42"/>
      <c r="C40" s="46"/>
      <c r="D40" s="814" t="s">
        <v>121</v>
      </c>
      <c r="E40" s="814"/>
      <c r="F40" s="814"/>
      <c r="G40" s="150"/>
      <c r="H40" s="150"/>
      <c r="I40" s="150"/>
      <c r="J40" s="150">
        <v>17563.82</v>
      </c>
      <c r="K40" s="150">
        <v>15327.6</v>
      </c>
      <c r="L40" s="150"/>
      <c r="M40" s="150">
        <v>13203.2</v>
      </c>
      <c r="O40" s="334">
        <f t="shared" si="4"/>
        <v>2236.2199999999993</v>
      </c>
      <c r="P40" s="675">
        <f t="shared" si="5"/>
        <v>0.14589498682115917</v>
      </c>
      <c r="T40" s="683" t="s">
        <v>121</v>
      </c>
      <c r="U40" s="150">
        <f>AVERAGE(J40:K40)</f>
        <v>16445.71</v>
      </c>
    </row>
    <row r="41" spans="1:21" s="43" customFormat="1" ht="20.25" x14ac:dyDescent="0.2">
      <c r="A41" s="42"/>
      <c r="B41" s="42"/>
      <c r="C41" s="46"/>
      <c r="D41" s="814" t="s">
        <v>122</v>
      </c>
      <c r="E41" s="814"/>
      <c r="F41" s="814"/>
      <c r="G41" s="150"/>
      <c r="H41" s="150"/>
      <c r="I41" s="150"/>
      <c r="J41" s="150">
        <v>629</v>
      </c>
      <c r="K41" s="150">
        <v>710.5</v>
      </c>
      <c r="L41" s="150"/>
      <c r="M41" s="150">
        <v>710.5</v>
      </c>
      <c r="O41" s="334">
        <f t="shared" si="4"/>
        <v>-81.5</v>
      </c>
      <c r="P41" s="675">
        <f t="shared" si="5"/>
        <v>-0.11470795214637579</v>
      </c>
      <c r="T41" s="683" t="s">
        <v>122</v>
      </c>
      <c r="U41" s="150">
        <f>AVERAGE(J41:K41)</f>
        <v>669.75</v>
      </c>
    </row>
    <row r="42" spans="1:21" s="43" customFormat="1" ht="20.25" x14ac:dyDescent="0.2">
      <c r="A42" s="42"/>
      <c r="B42" s="42"/>
      <c r="C42" s="46" t="s">
        <v>123</v>
      </c>
      <c r="D42" s="46"/>
      <c r="E42" s="46"/>
      <c r="F42" s="46"/>
      <c r="G42" s="150">
        <v>27200</v>
      </c>
      <c r="H42" s="150">
        <v>11327</v>
      </c>
      <c r="I42" s="150"/>
      <c r="J42" s="150">
        <f>49068-7752</f>
        <v>41316</v>
      </c>
      <c r="K42" s="150">
        <f>'August''25 State of Activities'!I54-6780</f>
        <v>46147</v>
      </c>
      <c r="L42" s="150"/>
      <c r="M42" s="150">
        <v>22747.5</v>
      </c>
      <c r="O42" s="334">
        <f t="shared" si="4"/>
        <v>-4831</v>
      </c>
      <c r="P42" s="675">
        <f t="shared" si="5"/>
        <v>-0.10468719526729799</v>
      </c>
      <c r="T42" s="46" t="str">
        <f t="shared" si="0"/>
        <v>Depreciation &amp; Amortization -Vehicles</v>
      </c>
      <c r="U42" s="150">
        <v>42000</v>
      </c>
    </row>
    <row r="43" spans="1:21" s="43" customFormat="1" ht="20.25" x14ac:dyDescent="0.2">
      <c r="A43" s="42"/>
      <c r="B43" s="42"/>
      <c r="C43" s="46" t="s">
        <v>38</v>
      </c>
      <c r="D43" s="46"/>
      <c r="E43" s="46"/>
      <c r="F43" s="46"/>
      <c r="G43" s="150">
        <v>150176</v>
      </c>
      <c r="H43" s="181">
        <v>47700.27</v>
      </c>
      <c r="I43" s="181"/>
      <c r="J43" s="150" t="e">
        <f>J26</f>
        <v>#REF!</v>
      </c>
      <c r="K43" s="150">
        <f>K26</f>
        <v>10548</v>
      </c>
      <c r="L43" s="181"/>
      <c r="M43" s="150" t="e">
        <f>M26</f>
        <v>#REF!</v>
      </c>
      <c r="O43" s="334" t="e">
        <f t="shared" si="4"/>
        <v>#REF!</v>
      </c>
      <c r="P43" s="675" t="e">
        <f t="shared" si="5"/>
        <v>#REF!</v>
      </c>
      <c r="T43" s="46" t="str">
        <f t="shared" si="0"/>
        <v>In-Kind Rent</v>
      </c>
      <c r="U43" s="150" t="e">
        <f>J43</f>
        <v>#REF!</v>
      </c>
    </row>
    <row r="44" spans="1:21" s="43" customFormat="1" ht="20.25" x14ac:dyDescent="0.2">
      <c r="A44" s="42"/>
      <c r="B44" s="42"/>
      <c r="C44" s="46" t="s">
        <v>124</v>
      </c>
      <c r="D44" s="46"/>
      <c r="E44" s="46"/>
      <c r="F44" s="46"/>
      <c r="G44" s="150"/>
      <c r="H44" s="181"/>
      <c r="I44" s="181"/>
      <c r="J44" s="334">
        <v>4816.6099999999997</v>
      </c>
      <c r="K44" s="150">
        <v>4527.62</v>
      </c>
      <c r="L44" s="181"/>
      <c r="M44" s="150">
        <v>3788.1</v>
      </c>
      <c r="O44" s="334">
        <f t="shared" si="4"/>
        <v>288.98999999999978</v>
      </c>
      <c r="P44" s="675">
        <f t="shared" si="5"/>
        <v>6.382823646860819E-2</v>
      </c>
      <c r="T44" s="46" t="str">
        <f t="shared" si="0"/>
        <v>Transportation Scheduling Software-RoutingBox</v>
      </c>
      <c r="U44" s="150">
        <f>AVERAGE(J44:K44)</f>
        <v>4672.1149999999998</v>
      </c>
    </row>
    <row r="45" spans="1:21" s="43" customFormat="1" ht="20.25" x14ac:dyDescent="0.2">
      <c r="A45" s="42"/>
      <c r="B45" s="42"/>
      <c r="C45" s="46" t="s">
        <v>755</v>
      </c>
      <c r="D45" s="46"/>
      <c r="E45" s="46"/>
      <c r="F45" s="46"/>
      <c r="G45" s="150"/>
      <c r="H45" s="181"/>
      <c r="I45" s="181"/>
      <c r="J45" s="334">
        <v>2033.5</v>
      </c>
      <c r="K45" s="150">
        <v>1937.6</v>
      </c>
      <c r="L45" s="181"/>
      <c r="M45" s="150">
        <v>1556.4</v>
      </c>
      <c r="O45" s="334">
        <f t="shared" si="4"/>
        <v>95.900000000000091</v>
      </c>
      <c r="P45" s="675">
        <f t="shared" si="5"/>
        <v>4.9494219653179239E-2</v>
      </c>
      <c r="T45" s="46" t="str">
        <f t="shared" si="0"/>
        <v>Transportation Billing Software-Kinetik</v>
      </c>
      <c r="U45" s="150">
        <f>AVERAGE(J45:K45)</f>
        <v>1985.55</v>
      </c>
    </row>
    <row r="46" spans="1:21" s="43" customFormat="1" ht="20.25" x14ac:dyDescent="0.2">
      <c r="A46" s="42"/>
      <c r="B46" s="42"/>
      <c r="C46" s="46" t="s">
        <v>125</v>
      </c>
      <c r="D46" s="46"/>
      <c r="E46" s="46"/>
      <c r="F46" s="46"/>
      <c r="G46" s="150"/>
      <c r="H46" s="181"/>
      <c r="I46" s="181"/>
      <c r="J46" s="150">
        <v>4011</v>
      </c>
      <c r="K46" s="150">
        <f>140+673</f>
        <v>813</v>
      </c>
      <c r="L46" s="181"/>
      <c r="M46" s="150">
        <f>140+673</f>
        <v>813</v>
      </c>
      <c r="O46" s="334">
        <f t="shared" si="4"/>
        <v>3198</v>
      </c>
      <c r="P46" s="675">
        <f t="shared" si="5"/>
        <v>3.9335793357933579</v>
      </c>
      <c r="T46" s="46" t="str">
        <f t="shared" si="0"/>
        <v>Audit</v>
      </c>
      <c r="U46" s="150">
        <v>4000</v>
      </c>
    </row>
    <row r="47" spans="1:21" s="43" customFormat="1" ht="20.25" x14ac:dyDescent="0.2">
      <c r="A47" s="42"/>
      <c r="B47" s="42"/>
      <c r="C47" s="46" t="s">
        <v>128</v>
      </c>
      <c r="D47" s="46"/>
      <c r="E47" s="46"/>
      <c r="F47" s="46"/>
      <c r="G47" s="150"/>
      <c r="H47" s="181"/>
      <c r="I47" s="181"/>
      <c r="J47" s="150">
        <v>7487</v>
      </c>
      <c r="K47" s="150">
        <v>5519.15</v>
      </c>
      <c r="L47" s="181"/>
      <c r="M47" s="150"/>
      <c r="O47" s="334">
        <f t="shared" si="4"/>
        <v>1967.8500000000004</v>
      </c>
      <c r="P47" s="675">
        <f t="shared" si="5"/>
        <v>0.35654946866818271</v>
      </c>
      <c r="T47" s="46" t="str">
        <f t="shared" si="0"/>
        <v>General Insurance</v>
      </c>
      <c r="U47" s="150">
        <v>8400</v>
      </c>
    </row>
    <row r="48" spans="1:21" s="43" customFormat="1" ht="20.25" x14ac:dyDescent="0.2">
      <c r="A48" s="42"/>
      <c r="B48" s="42"/>
      <c r="C48" s="46" t="s">
        <v>126</v>
      </c>
      <c r="D48" s="46"/>
      <c r="E48" s="46"/>
      <c r="F48" s="46"/>
      <c r="G48" s="150">
        <v>10993.12</v>
      </c>
      <c r="H48" s="181">
        <v>4904.57</v>
      </c>
      <c r="I48" s="181"/>
      <c r="J48" s="150">
        <f>1328.72+6448.19</f>
        <v>7776.91</v>
      </c>
      <c r="K48" s="150">
        <v>8336.2099999999991</v>
      </c>
      <c r="L48" s="181"/>
      <c r="M48" s="150">
        <v>6911.08</v>
      </c>
      <c r="O48" s="334">
        <f t="shared" si="4"/>
        <v>-559.29999999999927</v>
      </c>
      <c r="P48" s="675">
        <f t="shared" si="5"/>
        <v>-6.7092839551786645E-2</v>
      </c>
      <c r="T48" s="46" t="str">
        <f t="shared" si="0"/>
        <v>Telephone &amp; Internet</v>
      </c>
      <c r="U48" s="150">
        <f>AVERAGE(J48:K48)</f>
        <v>8056.5599999999995</v>
      </c>
    </row>
    <row r="49" spans="1:21" s="43" customFormat="1" ht="20.25" x14ac:dyDescent="0.2">
      <c r="A49" s="42"/>
      <c r="B49" s="42"/>
      <c r="C49" s="46" t="s">
        <v>127</v>
      </c>
      <c r="D49" s="46"/>
      <c r="E49" s="46"/>
      <c r="F49" s="46"/>
      <c r="G49" s="150">
        <v>10250.949999999999</v>
      </c>
      <c r="H49" s="181">
        <v>3982.99</v>
      </c>
      <c r="I49" s="181"/>
      <c r="J49" s="150">
        <f>212.42+735.38</f>
        <v>947.8</v>
      </c>
      <c r="K49" s="150">
        <f>759.4+755.78</f>
        <v>1515.1799999999998</v>
      </c>
      <c r="L49" s="181"/>
      <c r="M49" s="150">
        <v>570.36</v>
      </c>
      <c r="O49" s="334">
        <f t="shared" si="4"/>
        <v>-567.37999999999988</v>
      </c>
      <c r="P49" s="675">
        <f t="shared" si="5"/>
        <v>-0.37446376008131044</v>
      </c>
      <c r="T49" s="46" t="str">
        <f t="shared" si="0"/>
        <v>Office &amp; Program Supplies</v>
      </c>
      <c r="U49" s="150">
        <f>AVERAGE(J49:K49)</f>
        <v>1231.4899999999998</v>
      </c>
    </row>
    <row r="50" spans="1:21" s="43" customFormat="1" ht="20.25" x14ac:dyDescent="0.2">
      <c r="A50" s="42"/>
      <c r="B50" s="42"/>
      <c r="C50" s="46" t="s">
        <v>48</v>
      </c>
      <c r="D50" s="46"/>
      <c r="E50" s="46"/>
      <c r="F50" s="46"/>
      <c r="G50" s="150">
        <v>4412.53</v>
      </c>
      <c r="H50" s="182">
        <v>5667</v>
      </c>
      <c r="I50" s="182"/>
      <c r="J50" s="150">
        <v>7357.21</v>
      </c>
      <c r="K50" s="150">
        <v>6269.68</v>
      </c>
      <c r="L50" s="182"/>
      <c r="M50" s="150">
        <v>5818.33</v>
      </c>
      <c r="O50" s="334">
        <f t="shared" si="4"/>
        <v>1087.5299999999997</v>
      </c>
      <c r="P50" s="675">
        <f t="shared" si="5"/>
        <v>0.17345861351775524</v>
      </c>
      <c r="T50" s="46" t="str">
        <f t="shared" si="0"/>
        <v>Network/Computer/Website</v>
      </c>
      <c r="U50" s="150">
        <f>AVERAGE(J50:K50)</f>
        <v>6813.4449999999997</v>
      </c>
    </row>
    <row r="51" spans="1:21" s="43" customFormat="1" ht="20.25" x14ac:dyDescent="0.2">
      <c r="A51" s="42"/>
      <c r="B51" s="42"/>
      <c r="C51" s="46" t="s">
        <v>44</v>
      </c>
      <c r="D51" s="46"/>
      <c r="E51" s="46"/>
      <c r="F51" s="46"/>
      <c r="G51" s="150">
        <v>7901</v>
      </c>
      <c r="H51" s="181">
        <v>4149.6000000000004</v>
      </c>
      <c r="I51" s="181"/>
      <c r="J51" s="150">
        <f>1395.74</f>
        <v>1395.74</v>
      </c>
      <c r="K51" s="150">
        <v>667.73</v>
      </c>
      <c r="L51" s="181"/>
      <c r="M51" s="150">
        <v>487.36</v>
      </c>
      <c r="O51" s="334">
        <f t="shared" si="4"/>
        <v>728.01</v>
      </c>
      <c r="P51" s="675">
        <f t="shared" si="5"/>
        <v>1.0902760097644257</v>
      </c>
      <c r="T51" s="46" t="str">
        <f t="shared" si="0"/>
        <v>Printing and Copying</v>
      </c>
      <c r="U51" s="150">
        <f>AVERAGE(J51:K51)</f>
        <v>1031.7350000000001</v>
      </c>
    </row>
    <row r="52" spans="1:21" s="43" customFormat="1" ht="20.25" hidden="1" x14ac:dyDescent="0.2">
      <c r="A52" s="42"/>
      <c r="B52" s="42"/>
      <c r="C52" s="46" t="s">
        <v>128</v>
      </c>
      <c r="D52" s="46"/>
      <c r="E52" s="46"/>
      <c r="F52" s="46"/>
      <c r="G52" s="150"/>
      <c r="H52" s="181"/>
      <c r="I52" s="181"/>
      <c r="J52" s="150"/>
      <c r="K52" s="150"/>
      <c r="L52" s="181"/>
      <c r="M52" s="150"/>
      <c r="O52" s="334">
        <f t="shared" si="4"/>
        <v>0</v>
      </c>
      <c r="P52" s="675" t="e">
        <f t="shared" si="5"/>
        <v>#DIV/0!</v>
      </c>
      <c r="T52" s="46" t="str">
        <f t="shared" si="0"/>
        <v>General Insurance</v>
      </c>
      <c r="U52" s="150"/>
    </row>
    <row r="53" spans="1:21" s="43" customFormat="1" ht="20.25" x14ac:dyDescent="0.2">
      <c r="A53" s="46"/>
      <c r="B53" s="46"/>
      <c r="C53" s="46" t="s">
        <v>40</v>
      </c>
      <c r="D53" s="46"/>
      <c r="E53" s="46"/>
      <c r="F53" s="46"/>
      <c r="G53" s="150">
        <v>5428.37</v>
      </c>
      <c r="H53" s="181">
        <v>2024.52</v>
      </c>
      <c r="I53" s="181"/>
      <c r="J53" s="150">
        <f>328</f>
        <v>328</v>
      </c>
      <c r="K53" s="150">
        <v>374.36</v>
      </c>
      <c r="L53" s="181"/>
      <c r="M53" s="150">
        <v>350.51</v>
      </c>
      <c r="O53" s="334">
        <f t="shared" si="4"/>
        <v>-46.360000000000014</v>
      </c>
      <c r="P53" s="675">
        <f t="shared" si="5"/>
        <v>-0.12383801688214556</v>
      </c>
      <c r="T53" s="46" t="str">
        <f t="shared" si="0"/>
        <v>Postage</v>
      </c>
      <c r="U53" s="150">
        <f>AVERAGE(J53:K53)</f>
        <v>351.18</v>
      </c>
    </row>
    <row r="54" spans="1:21" s="43" customFormat="1" ht="20.25" x14ac:dyDescent="0.2">
      <c r="A54" s="46"/>
      <c r="B54" s="46"/>
      <c r="C54" s="46" t="s">
        <v>70</v>
      </c>
      <c r="D54" s="46"/>
      <c r="E54" s="46"/>
      <c r="F54" s="46"/>
      <c r="G54" s="150"/>
      <c r="H54" s="181"/>
      <c r="I54" s="181"/>
      <c r="J54" s="150">
        <v>7493.88</v>
      </c>
      <c r="K54" s="150">
        <f>'August''25 State of Activities'!I55</f>
        <v>7493.88</v>
      </c>
      <c r="L54" s="181"/>
      <c r="M54" s="150">
        <v>4442</v>
      </c>
      <c r="O54" s="334">
        <f t="shared" si="4"/>
        <v>0</v>
      </c>
      <c r="P54" s="675">
        <f t="shared" si="5"/>
        <v>0</v>
      </c>
      <c r="T54" s="46" t="str">
        <f t="shared" si="0"/>
        <v>Interest</v>
      </c>
      <c r="U54" s="150">
        <f>AVERAGE(J54:K54)</f>
        <v>7493.88</v>
      </c>
    </row>
    <row r="55" spans="1:21" s="43" customFormat="1" ht="20.25" x14ac:dyDescent="0.2">
      <c r="A55" s="46"/>
      <c r="B55" s="46"/>
      <c r="C55" s="46" t="s">
        <v>129</v>
      </c>
      <c r="D55" s="46"/>
      <c r="E55" s="46"/>
      <c r="F55" s="46"/>
      <c r="G55" s="150">
        <v>83462.91</v>
      </c>
      <c r="H55" s="150">
        <v>18995.71</v>
      </c>
      <c r="I55" s="150"/>
      <c r="J55" s="152">
        <f>20+189.68</f>
        <v>209.68</v>
      </c>
      <c r="K55" s="152">
        <f>17.65*2+79.5+114.85+409.5+320.68+105</f>
        <v>1064.83</v>
      </c>
      <c r="L55" s="150"/>
      <c r="M55" s="152">
        <f>17.65*2+79.5+105+409.5</f>
        <v>629.29999999999995</v>
      </c>
      <c r="O55" s="334">
        <f t="shared" si="4"/>
        <v>-855.14999999999986</v>
      </c>
      <c r="P55" s="678">
        <f t="shared" si="5"/>
        <v>-0.80308593860052768</v>
      </c>
      <c r="T55" s="46" t="str">
        <f t="shared" si="0"/>
        <v>Other Expenses</v>
      </c>
      <c r="U55" s="150">
        <f>AVERAGE(J55:K55)</f>
        <v>637.255</v>
      </c>
    </row>
    <row r="56" spans="1:21" s="43" customFormat="1" ht="21" thickBot="1" x14ac:dyDescent="0.25">
      <c r="A56" s="42"/>
      <c r="B56" s="42"/>
      <c r="C56" s="42"/>
      <c r="D56" s="42" t="s">
        <v>68</v>
      </c>
      <c r="E56" s="42"/>
      <c r="F56" s="42"/>
      <c r="G56" s="157">
        <v>1078317.8599999999</v>
      </c>
      <c r="H56" s="157">
        <v>481701.87000000005</v>
      </c>
      <c r="I56" s="150"/>
      <c r="J56" s="313" t="e">
        <f>SUM(J34:J55)</f>
        <v>#REF!</v>
      </c>
      <c r="K56" s="313">
        <f>SUM(K34:K55)</f>
        <v>522019.24</v>
      </c>
      <c r="L56" s="150"/>
      <c r="M56" s="313" t="e">
        <f>SUM(M34:M55)</f>
        <v>#REF!</v>
      </c>
      <c r="O56" s="313" t="e">
        <f>J56-K56</f>
        <v>#REF!</v>
      </c>
      <c r="P56" s="675" t="e">
        <f t="shared" si="5"/>
        <v>#REF!</v>
      </c>
      <c r="T56" s="705" t="s">
        <v>68</v>
      </c>
      <c r="U56" s="313" t="e">
        <f>SUM(U34:U55)</f>
        <v>#REF!</v>
      </c>
    </row>
    <row r="57" spans="1:21" s="43" customFormat="1" ht="21" thickBot="1" x14ac:dyDescent="0.25">
      <c r="A57" s="42"/>
      <c r="B57" s="42"/>
      <c r="C57" s="42"/>
      <c r="D57" s="42" t="s">
        <v>130</v>
      </c>
      <c r="E57" s="42"/>
      <c r="F57" s="42"/>
      <c r="G57" s="157">
        <v>233082.39000000013</v>
      </c>
      <c r="H57" s="157">
        <v>82291.709999999905</v>
      </c>
      <c r="I57" s="150"/>
      <c r="J57" s="314" t="e">
        <f>J30-J56</f>
        <v>#REF!</v>
      </c>
      <c r="K57" s="314">
        <f>K30-K56</f>
        <v>21828.760000000009</v>
      </c>
      <c r="L57" s="150"/>
      <c r="M57" s="314" t="e">
        <f>M30-M56</f>
        <v>#REF!</v>
      </c>
      <c r="O57" s="259" t="e">
        <f>J57-K57</f>
        <v>#REF!</v>
      </c>
      <c r="P57" s="679" t="e">
        <f t="shared" si="5"/>
        <v>#REF!</v>
      </c>
      <c r="T57" s="705" t="s">
        <v>733</v>
      </c>
      <c r="U57" s="314" t="e">
        <f>U30-U56</f>
        <v>#REF!</v>
      </c>
    </row>
    <row r="58" spans="1:21" s="43" customFormat="1" ht="20.25" x14ac:dyDescent="0.2">
      <c r="A58" s="42"/>
      <c r="B58" s="42"/>
      <c r="C58" s="42"/>
      <c r="D58" s="42"/>
      <c r="E58" s="42"/>
      <c r="F58" s="42"/>
      <c r="G58" s="150"/>
      <c r="H58" s="150"/>
      <c r="I58" s="150"/>
      <c r="J58" s="150"/>
      <c r="K58" s="150"/>
      <c r="L58" s="150"/>
      <c r="M58" s="150"/>
      <c r="P58" s="38"/>
      <c r="T58" s="46"/>
      <c r="U58" s="150"/>
    </row>
    <row r="59" spans="1:21" s="40" customFormat="1" ht="26.25" x14ac:dyDescent="0.2">
      <c r="A59" s="175"/>
      <c r="B59" s="175"/>
      <c r="C59" s="46" t="s">
        <v>737</v>
      </c>
      <c r="E59" s="46"/>
      <c r="F59" s="46"/>
      <c r="G59" s="177"/>
      <c r="H59" s="150"/>
      <c r="I59" s="150"/>
      <c r="J59" s="150">
        <f>2293.4*12*-1</f>
        <v>-27520.800000000003</v>
      </c>
      <c r="K59" s="150">
        <v>-41210</v>
      </c>
      <c r="L59" s="150"/>
      <c r="M59" s="150">
        <v>-36394</v>
      </c>
      <c r="O59" s="181">
        <f>J59-K59</f>
        <v>13689.199999999997</v>
      </c>
      <c r="P59" s="273"/>
      <c r="T59" s="46" t="str">
        <f t="shared" si="0"/>
        <v>Less: Lease Payments</v>
      </c>
      <c r="U59" s="150">
        <f>2293.4*12*-1</f>
        <v>-27520.800000000003</v>
      </c>
    </row>
    <row r="60" spans="1:21" s="43" customFormat="1" ht="20.25" x14ac:dyDescent="0.2">
      <c r="A60" s="42"/>
      <c r="B60" s="42"/>
      <c r="C60" s="46" t="s">
        <v>132</v>
      </c>
      <c r="E60" s="42"/>
      <c r="G60" s="150"/>
      <c r="H60" s="150"/>
      <c r="I60" s="150"/>
      <c r="J60" s="150">
        <f>J42</f>
        <v>41316</v>
      </c>
      <c r="K60" s="150">
        <f>K42</f>
        <v>46147</v>
      </c>
      <c r="L60" s="150"/>
      <c r="M60" s="150">
        <f>M42</f>
        <v>22747.5</v>
      </c>
      <c r="O60" s="181">
        <f>J60-K60</f>
        <v>-4831</v>
      </c>
      <c r="P60" s="678">
        <f t="shared" ref="P60" si="6">(J60-K60)/K60</f>
        <v>-0.10468719526729799</v>
      </c>
      <c r="T60" s="46" t="str">
        <f t="shared" si="0"/>
        <v xml:space="preserve">Add Back Deprecation </v>
      </c>
      <c r="U60" s="150">
        <f>U42</f>
        <v>42000</v>
      </c>
    </row>
    <row r="61" spans="1:21" s="43" customFormat="1" ht="24" thickBot="1" x14ac:dyDescent="0.25">
      <c r="A61" s="42"/>
      <c r="B61" s="178"/>
      <c r="C61" s="42"/>
      <c r="D61" s="817" t="s">
        <v>133</v>
      </c>
      <c r="E61" s="817"/>
      <c r="F61" s="817"/>
      <c r="G61" s="150"/>
      <c r="H61" s="150"/>
      <c r="I61" s="150"/>
      <c r="J61" s="315" t="e">
        <f>J57+J59+J60</f>
        <v>#REF!</v>
      </c>
      <c r="K61" s="315">
        <f>K57+K59+K60</f>
        <v>26765.760000000009</v>
      </c>
      <c r="L61" s="159"/>
      <c r="M61" s="315" t="e">
        <f>M57+M59+M60</f>
        <v>#REF!</v>
      </c>
      <c r="N61" s="261"/>
      <c r="O61" s="312" t="e">
        <f>J61-K61</f>
        <v>#REF!</v>
      </c>
      <c r="P61" s="678" t="e">
        <f>-(J61-K61)/K61</f>
        <v>#REF!</v>
      </c>
      <c r="T61" s="706" t="s">
        <v>133</v>
      </c>
      <c r="U61" s="315" t="e">
        <f>U57+U59+U60</f>
        <v>#REF!</v>
      </c>
    </row>
    <row r="62" spans="1:21" s="43" customFormat="1" ht="42" customHeight="1" thickTop="1" x14ac:dyDescent="0.2">
      <c r="A62" s="42"/>
      <c r="B62" s="42"/>
      <c r="C62" s="42"/>
      <c r="D62" s="42"/>
      <c r="E62" s="42"/>
      <c r="F62" s="42"/>
      <c r="G62" s="150"/>
      <c r="H62" s="150"/>
      <c r="I62" s="150"/>
      <c r="J62" s="150"/>
      <c r="K62" s="150"/>
      <c r="L62" s="150"/>
      <c r="M62" s="150"/>
      <c r="P62" s="38"/>
      <c r="U62" s="150"/>
    </row>
    <row r="63" spans="1:21" s="43" customFormat="1" ht="20.25" x14ac:dyDescent="0.2">
      <c r="A63" s="46"/>
      <c r="B63" s="46"/>
      <c r="C63" s="46"/>
      <c r="D63" s="46"/>
      <c r="F63" s="46" t="s">
        <v>134</v>
      </c>
      <c r="G63" s="159"/>
      <c r="H63" s="150"/>
      <c r="I63" s="150"/>
      <c r="J63" s="150">
        <v>247516</v>
      </c>
      <c r="K63" s="150">
        <v>249119</v>
      </c>
      <c r="L63" s="150"/>
      <c r="M63" s="150">
        <v>211115</v>
      </c>
      <c r="O63" s="161"/>
      <c r="P63" s="38"/>
      <c r="T63" s="702" t="s">
        <v>134</v>
      </c>
      <c r="U63" s="150">
        <v>247516</v>
      </c>
    </row>
    <row r="64" spans="1:21" s="43" customFormat="1" ht="21" thickBot="1" x14ac:dyDescent="0.25">
      <c r="A64" s="46"/>
      <c r="B64" s="46"/>
      <c r="C64" s="46"/>
      <c r="D64" s="46"/>
      <c r="F64" s="46" t="s">
        <v>135</v>
      </c>
      <c r="G64" s="150"/>
      <c r="H64" s="150"/>
      <c r="I64" s="150"/>
      <c r="J64" s="405" t="e">
        <f>(J56-J42-J43)/J63</f>
        <v>#REF!</v>
      </c>
      <c r="K64" s="405">
        <f>(K56-K42-K43)/K63</f>
        <v>1.8678793668889164</v>
      </c>
      <c r="L64" s="406"/>
      <c r="M64" s="405" t="e">
        <f>(M56-M42-M43)/M63</f>
        <v>#REF!</v>
      </c>
      <c r="P64" s="38"/>
      <c r="T64" s="702" t="s">
        <v>135</v>
      </c>
      <c r="U64" s="405" t="e">
        <f>(U56-U42-U43)/U63</f>
        <v>#REF!</v>
      </c>
    </row>
    <row r="65" spans="1:21" s="43" customFormat="1" ht="20.25" x14ac:dyDescent="0.2">
      <c r="A65" s="46"/>
      <c r="B65" s="46"/>
      <c r="C65" s="46"/>
      <c r="D65" s="46"/>
      <c r="F65" s="46"/>
      <c r="G65" s="150"/>
      <c r="H65" s="150"/>
      <c r="I65" s="150"/>
      <c r="J65" s="150"/>
      <c r="K65" s="150"/>
      <c r="L65" s="150"/>
      <c r="M65" s="150"/>
      <c r="P65" s="38"/>
      <c r="T65" s="702"/>
      <c r="U65" s="150"/>
    </row>
    <row r="66" spans="1:21" s="43" customFormat="1" ht="20.25" x14ac:dyDescent="0.2">
      <c r="A66" s="46"/>
      <c r="B66" s="46"/>
      <c r="C66" s="46"/>
      <c r="D66" s="46"/>
      <c r="F66" s="46" t="s">
        <v>136</v>
      </c>
      <c r="G66" s="150"/>
      <c r="H66" s="150"/>
      <c r="I66" s="150"/>
      <c r="J66" s="150">
        <v>13394</v>
      </c>
      <c r="K66" s="150">
        <v>13026</v>
      </c>
      <c r="L66" s="150"/>
      <c r="M66" s="150">
        <v>10946</v>
      </c>
      <c r="P66" s="676"/>
      <c r="T66" s="702" t="s">
        <v>136</v>
      </c>
      <c r="U66" s="150">
        <v>13394</v>
      </c>
    </row>
    <row r="67" spans="1:21" s="43" customFormat="1" ht="21" thickBot="1" x14ac:dyDescent="0.25">
      <c r="A67" s="46"/>
      <c r="B67" s="46"/>
      <c r="C67" s="46"/>
      <c r="D67" s="46"/>
      <c r="F67" s="46" t="s">
        <v>137</v>
      </c>
      <c r="G67" s="150"/>
      <c r="H67" s="150"/>
      <c r="I67" s="150"/>
      <c r="J67" s="405" t="e">
        <f>(J56-J42-J43)/J66</f>
        <v>#REF!</v>
      </c>
      <c r="K67" s="405">
        <f>(K56-K42-K43)/K66</f>
        <v>35.722726853984341</v>
      </c>
      <c r="L67" s="150"/>
      <c r="M67" s="405" t="e">
        <f>(M56-M42-M43)/M66</f>
        <v>#REF!</v>
      </c>
      <c r="P67" s="38"/>
      <c r="T67" s="702" t="s">
        <v>137</v>
      </c>
      <c r="U67" s="405" t="e">
        <f>(U56-U42-U43)/U66</f>
        <v>#REF!</v>
      </c>
    </row>
    <row r="68" spans="1:21" s="43" customFormat="1" ht="20.25" x14ac:dyDescent="0.2">
      <c r="A68" s="46"/>
      <c r="B68" s="46"/>
      <c r="C68" s="46"/>
      <c r="D68" s="46"/>
      <c r="F68" s="46"/>
      <c r="G68" s="150"/>
      <c r="H68" s="150"/>
      <c r="I68" s="150"/>
      <c r="J68" s="150"/>
      <c r="K68" s="150"/>
      <c r="L68" s="150"/>
      <c r="M68" s="150"/>
      <c r="P68" s="38"/>
      <c r="T68" s="702"/>
      <c r="U68" s="150"/>
    </row>
    <row r="69" spans="1:21" s="43" customFormat="1" ht="20.25" x14ac:dyDescent="0.2">
      <c r="A69" s="46"/>
      <c r="B69" s="46"/>
      <c r="C69" s="42"/>
      <c r="D69" s="46"/>
      <c r="F69" s="46" t="s">
        <v>138</v>
      </c>
      <c r="G69" s="150"/>
      <c r="H69" s="150"/>
      <c r="I69" s="150"/>
      <c r="J69" s="150">
        <v>6070</v>
      </c>
      <c r="K69" s="150">
        <v>4221</v>
      </c>
      <c r="L69" s="150"/>
      <c r="M69" s="150">
        <v>3452</v>
      </c>
      <c r="P69" s="38"/>
      <c r="T69" s="702" t="s">
        <v>138</v>
      </c>
      <c r="U69" s="150">
        <v>6070</v>
      </c>
    </row>
    <row r="70" spans="1:21" s="43" customFormat="1" ht="21" thickBot="1" x14ac:dyDescent="0.25">
      <c r="A70" s="46"/>
      <c r="B70" s="46"/>
      <c r="C70" s="46"/>
      <c r="D70" s="46"/>
      <c r="E70" s="46"/>
      <c r="F70" s="46" t="s">
        <v>139</v>
      </c>
      <c r="G70" s="150"/>
      <c r="H70" s="150"/>
      <c r="I70" s="150"/>
      <c r="J70" s="405">
        <f>J9/J69</f>
        <v>22.310855024711699</v>
      </c>
      <c r="K70" s="405">
        <f>K9/K69</f>
        <v>44.491589670694147</v>
      </c>
      <c r="L70" s="150"/>
      <c r="M70" s="405">
        <f>M9/M69</f>
        <v>34.739519119351101</v>
      </c>
      <c r="P70" s="38"/>
      <c r="T70" s="702" t="s">
        <v>139</v>
      </c>
      <c r="U70" s="405">
        <f>U9/U69</f>
        <v>32.390929983525538</v>
      </c>
    </row>
    <row r="71" spans="1:21" s="43" customFormat="1" ht="20.25" x14ac:dyDescent="0.2">
      <c r="A71" s="46"/>
      <c r="B71" s="46"/>
      <c r="C71" s="42"/>
      <c r="D71" s="42"/>
      <c r="G71" s="150"/>
      <c r="H71" s="150"/>
      <c r="I71" s="150"/>
      <c r="J71" s="150"/>
      <c r="K71" s="150"/>
      <c r="L71" s="150"/>
      <c r="M71" s="150"/>
      <c r="P71" s="38"/>
      <c r="T71" s="703"/>
      <c r="U71" s="150"/>
    </row>
    <row r="72" spans="1:21" s="43" customFormat="1" ht="20.25" x14ac:dyDescent="0.2">
      <c r="A72" s="46"/>
      <c r="B72" s="46"/>
      <c r="C72" s="46"/>
      <c r="D72" s="46"/>
      <c r="E72" s="46"/>
      <c r="F72" s="46" t="s">
        <v>738</v>
      </c>
      <c r="G72" s="150"/>
      <c r="H72" s="150"/>
      <c r="I72" s="150"/>
      <c r="J72" s="681">
        <f>J63/J66</f>
        <v>18.479617739286248</v>
      </c>
      <c r="K72" s="150"/>
      <c r="L72" s="150"/>
      <c r="M72" s="150"/>
      <c r="P72" s="38"/>
      <c r="T72" s="702" t="s">
        <v>738</v>
      </c>
      <c r="U72" s="681">
        <f>U63/U66</f>
        <v>18.479617739286248</v>
      </c>
    </row>
  </sheetData>
  <mergeCells count="11">
    <mergeCell ref="D61:F61"/>
    <mergeCell ref="J6:M6"/>
    <mergeCell ref="O8:P8"/>
    <mergeCell ref="C24:F24"/>
    <mergeCell ref="D34:F34"/>
    <mergeCell ref="D35:F35"/>
    <mergeCell ref="D36:F36"/>
    <mergeCell ref="D38:F38"/>
    <mergeCell ref="D39:F39"/>
    <mergeCell ref="D40:F40"/>
    <mergeCell ref="D41:F41"/>
  </mergeCells>
  <pageMargins left="1.2" right="0.2" top="0.25" bottom="0.5" header="0.3" footer="0.3"/>
  <pageSetup orientation="portrait" r:id="rId1"/>
  <headerFooter>
    <oddFooter>&amp;R&amp;9&amp;Z
&amp;F</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8"/>
  <sheetViews>
    <sheetView topLeftCell="A25" zoomScale="75" zoomScaleNormal="75" workbookViewId="0">
      <selection activeCell="M10" sqref="M10"/>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5.625" style="33" customWidth="1"/>
    <col min="7" max="7" width="22.25" style="147" hidden="1" customWidth="1"/>
    <col min="8" max="8" width="23.125" hidden="1" customWidth="1"/>
    <col min="9" max="9" width="1.625" customWidth="1"/>
    <col min="10" max="10" width="26.875" customWidth="1"/>
    <col min="11" max="11" width="24.5" customWidth="1"/>
    <col min="12" max="12" width="1.625" customWidth="1"/>
    <col min="13" max="13" width="23.125" customWidth="1"/>
    <col min="14" max="14" width="1.75" customWidth="1"/>
    <col min="15" max="15" width="19.75" bestFit="1" customWidth="1"/>
    <col min="16" max="16" width="15" customWidth="1"/>
    <col min="17" max="17" width="16.875" bestFit="1" customWidth="1"/>
    <col min="18" max="18" width="10" bestFit="1" customWidth="1"/>
    <col min="254" max="254" width="2.875" customWidth="1"/>
    <col min="255" max="255" width="8.125" customWidth="1"/>
    <col min="256" max="256" width="8.75" customWidth="1"/>
    <col min="257" max="257" width="11" customWidth="1"/>
    <col min="258" max="258" width="2.875" customWidth="1"/>
    <col min="259" max="259" width="77.625" customWidth="1"/>
    <col min="260" max="260" width="20.875" customWidth="1"/>
    <col min="510" max="510" width="2.875" customWidth="1"/>
    <col min="511" max="511" width="8.125" customWidth="1"/>
    <col min="512" max="512" width="8.75" customWidth="1"/>
    <col min="513" max="513" width="11" customWidth="1"/>
    <col min="514" max="514" width="2.875" customWidth="1"/>
    <col min="515" max="515" width="77.625" customWidth="1"/>
    <col min="516" max="516" width="20.875" customWidth="1"/>
    <col min="766" max="766" width="2.875" customWidth="1"/>
    <col min="767" max="767" width="8.125" customWidth="1"/>
    <col min="768" max="768" width="8.75" customWidth="1"/>
    <col min="769" max="769" width="11" customWidth="1"/>
    <col min="770" max="770" width="2.875" customWidth="1"/>
    <col min="771" max="771" width="77.625" customWidth="1"/>
    <col min="772" max="772" width="20.875" customWidth="1"/>
    <col min="1022" max="1022" width="2.875" customWidth="1"/>
    <col min="1023" max="1023" width="8.125" customWidth="1"/>
    <col min="1024" max="1024" width="8.75" customWidth="1"/>
    <col min="1025" max="1025" width="11" customWidth="1"/>
    <col min="1026" max="1026" width="2.875" customWidth="1"/>
    <col min="1027" max="1027" width="77.625" customWidth="1"/>
    <col min="1028" max="1028" width="20.875" customWidth="1"/>
    <col min="1278" max="1278" width="2.875" customWidth="1"/>
    <col min="1279" max="1279" width="8.125" customWidth="1"/>
    <col min="1280" max="1280" width="8.75" customWidth="1"/>
    <col min="1281" max="1281" width="11" customWidth="1"/>
    <col min="1282" max="1282" width="2.875" customWidth="1"/>
    <col min="1283" max="1283" width="77.625" customWidth="1"/>
    <col min="1284" max="1284" width="20.875" customWidth="1"/>
    <col min="1534" max="1534" width="2.875" customWidth="1"/>
    <col min="1535" max="1535" width="8.125" customWidth="1"/>
    <col min="1536" max="1536" width="8.75" customWidth="1"/>
    <col min="1537" max="1537" width="11" customWidth="1"/>
    <col min="1538" max="1538" width="2.875" customWidth="1"/>
    <col min="1539" max="1539" width="77.625" customWidth="1"/>
    <col min="1540" max="1540" width="20.875" customWidth="1"/>
    <col min="1790" max="1790" width="2.875" customWidth="1"/>
    <col min="1791" max="1791" width="8.125" customWidth="1"/>
    <col min="1792" max="1792" width="8.75" customWidth="1"/>
    <col min="1793" max="1793" width="11" customWidth="1"/>
    <col min="1794" max="1794" width="2.875" customWidth="1"/>
    <col min="1795" max="1795" width="77.625" customWidth="1"/>
    <col min="1796" max="1796" width="20.875" customWidth="1"/>
    <col min="2046" max="2046" width="2.875" customWidth="1"/>
    <col min="2047" max="2047" width="8.125" customWidth="1"/>
    <col min="2048" max="2048" width="8.75" customWidth="1"/>
    <col min="2049" max="2049" width="11" customWidth="1"/>
    <col min="2050" max="2050" width="2.875" customWidth="1"/>
    <col min="2051" max="2051" width="77.625" customWidth="1"/>
    <col min="2052" max="2052" width="20.875" customWidth="1"/>
    <col min="2302" max="2302" width="2.875" customWidth="1"/>
    <col min="2303" max="2303" width="8.125" customWidth="1"/>
    <col min="2304" max="2304" width="8.75" customWidth="1"/>
    <col min="2305" max="2305" width="11" customWidth="1"/>
    <col min="2306" max="2306" width="2.875" customWidth="1"/>
    <col min="2307" max="2307" width="77.625" customWidth="1"/>
    <col min="2308" max="2308" width="20.875" customWidth="1"/>
    <col min="2558" max="2558" width="2.875" customWidth="1"/>
    <col min="2559" max="2559" width="8.125" customWidth="1"/>
    <col min="2560" max="2560" width="8.75" customWidth="1"/>
    <col min="2561" max="2561" width="11" customWidth="1"/>
    <col min="2562" max="2562" width="2.875" customWidth="1"/>
    <col min="2563" max="2563" width="77.625" customWidth="1"/>
    <col min="2564" max="2564" width="20.875" customWidth="1"/>
    <col min="2814" max="2814" width="2.875" customWidth="1"/>
    <col min="2815" max="2815" width="8.125" customWidth="1"/>
    <col min="2816" max="2816" width="8.75" customWidth="1"/>
    <col min="2817" max="2817" width="11" customWidth="1"/>
    <col min="2818" max="2818" width="2.875" customWidth="1"/>
    <col min="2819" max="2819" width="77.625" customWidth="1"/>
    <col min="2820" max="2820" width="20.875" customWidth="1"/>
    <col min="3070" max="3070" width="2.875" customWidth="1"/>
    <col min="3071" max="3071" width="8.125" customWidth="1"/>
    <col min="3072" max="3072" width="8.75" customWidth="1"/>
    <col min="3073" max="3073" width="11" customWidth="1"/>
    <col min="3074" max="3074" width="2.875" customWidth="1"/>
    <col min="3075" max="3075" width="77.625" customWidth="1"/>
    <col min="3076" max="3076" width="20.875" customWidth="1"/>
    <col min="3326" max="3326" width="2.875" customWidth="1"/>
    <col min="3327" max="3327" width="8.125" customWidth="1"/>
    <col min="3328" max="3328" width="8.75" customWidth="1"/>
    <col min="3329" max="3329" width="11" customWidth="1"/>
    <col min="3330" max="3330" width="2.875" customWidth="1"/>
    <col min="3331" max="3331" width="77.625" customWidth="1"/>
    <col min="3332" max="3332" width="20.875" customWidth="1"/>
    <col min="3582" max="3582" width="2.875" customWidth="1"/>
    <col min="3583" max="3583" width="8.125" customWidth="1"/>
    <col min="3584" max="3584" width="8.75" customWidth="1"/>
    <col min="3585" max="3585" width="11" customWidth="1"/>
    <col min="3586" max="3586" width="2.875" customWidth="1"/>
    <col min="3587" max="3587" width="77.625" customWidth="1"/>
    <col min="3588" max="3588" width="20.875" customWidth="1"/>
    <col min="3838" max="3838" width="2.875" customWidth="1"/>
    <col min="3839" max="3839" width="8.125" customWidth="1"/>
    <col min="3840" max="3840" width="8.75" customWidth="1"/>
    <col min="3841" max="3841" width="11" customWidth="1"/>
    <col min="3842" max="3842" width="2.875" customWidth="1"/>
    <col min="3843" max="3843" width="77.625" customWidth="1"/>
    <col min="3844" max="3844" width="20.875" customWidth="1"/>
    <col min="4094" max="4094" width="2.875" customWidth="1"/>
    <col min="4095" max="4095" width="8.125" customWidth="1"/>
    <col min="4096" max="4096" width="8.75" customWidth="1"/>
    <col min="4097" max="4097" width="11" customWidth="1"/>
    <col min="4098" max="4098" width="2.875" customWidth="1"/>
    <col min="4099" max="4099" width="77.625" customWidth="1"/>
    <col min="4100" max="4100" width="20.875" customWidth="1"/>
    <col min="4350" max="4350" width="2.875" customWidth="1"/>
    <col min="4351" max="4351" width="8.125" customWidth="1"/>
    <col min="4352" max="4352" width="8.75" customWidth="1"/>
    <col min="4353" max="4353" width="11" customWidth="1"/>
    <col min="4354" max="4354" width="2.875" customWidth="1"/>
    <col min="4355" max="4355" width="77.625" customWidth="1"/>
    <col min="4356" max="4356" width="20.875" customWidth="1"/>
    <col min="4606" max="4606" width="2.875" customWidth="1"/>
    <col min="4607" max="4607" width="8.125" customWidth="1"/>
    <col min="4608" max="4608" width="8.75" customWidth="1"/>
    <col min="4609" max="4609" width="11" customWidth="1"/>
    <col min="4610" max="4610" width="2.875" customWidth="1"/>
    <col min="4611" max="4611" width="77.625" customWidth="1"/>
    <col min="4612" max="4612" width="20.875" customWidth="1"/>
    <col min="4862" max="4862" width="2.875" customWidth="1"/>
    <col min="4863" max="4863" width="8.125" customWidth="1"/>
    <col min="4864" max="4864" width="8.75" customWidth="1"/>
    <col min="4865" max="4865" width="11" customWidth="1"/>
    <col min="4866" max="4866" width="2.875" customWidth="1"/>
    <col min="4867" max="4867" width="77.625" customWidth="1"/>
    <col min="4868" max="4868" width="20.875" customWidth="1"/>
    <col min="5118" max="5118" width="2.875" customWidth="1"/>
    <col min="5119" max="5119" width="8.125" customWidth="1"/>
    <col min="5120" max="5120" width="8.75" customWidth="1"/>
    <col min="5121" max="5121" width="11" customWidth="1"/>
    <col min="5122" max="5122" width="2.875" customWidth="1"/>
    <col min="5123" max="5123" width="77.625" customWidth="1"/>
    <col min="5124" max="5124" width="20.875" customWidth="1"/>
    <col min="5374" max="5374" width="2.875" customWidth="1"/>
    <col min="5375" max="5375" width="8.125" customWidth="1"/>
    <col min="5376" max="5376" width="8.75" customWidth="1"/>
    <col min="5377" max="5377" width="11" customWidth="1"/>
    <col min="5378" max="5378" width="2.875" customWidth="1"/>
    <col min="5379" max="5379" width="77.625" customWidth="1"/>
    <col min="5380" max="5380" width="20.875" customWidth="1"/>
    <col min="5630" max="5630" width="2.875" customWidth="1"/>
    <col min="5631" max="5631" width="8.125" customWidth="1"/>
    <col min="5632" max="5632" width="8.75" customWidth="1"/>
    <col min="5633" max="5633" width="11" customWidth="1"/>
    <col min="5634" max="5634" width="2.875" customWidth="1"/>
    <col min="5635" max="5635" width="77.625" customWidth="1"/>
    <col min="5636" max="5636" width="20.875" customWidth="1"/>
    <col min="5886" max="5886" width="2.875" customWidth="1"/>
    <col min="5887" max="5887" width="8.125" customWidth="1"/>
    <col min="5888" max="5888" width="8.75" customWidth="1"/>
    <col min="5889" max="5889" width="11" customWidth="1"/>
    <col min="5890" max="5890" width="2.875" customWidth="1"/>
    <col min="5891" max="5891" width="77.625" customWidth="1"/>
    <col min="5892" max="5892" width="20.875" customWidth="1"/>
    <col min="6142" max="6142" width="2.875" customWidth="1"/>
    <col min="6143" max="6143" width="8.125" customWidth="1"/>
    <col min="6144" max="6144" width="8.75" customWidth="1"/>
    <col min="6145" max="6145" width="11" customWidth="1"/>
    <col min="6146" max="6146" width="2.875" customWidth="1"/>
    <col min="6147" max="6147" width="77.625" customWidth="1"/>
    <col min="6148" max="6148" width="20.875" customWidth="1"/>
    <col min="6398" max="6398" width="2.875" customWidth="1"/>
    <col min="6399" max="6399" width="8.125" customWidth="1"/>
    <col min="6400" max="6400" width="8.75" customWidth="1"/>
    <col min="6401" max="6401" width="11" customWidth="1"/>
    <col min="6402" max="6402" width="2.875" customWidth="1"/>
    <col min="6403" max="6403" width="77.625" customWidth="1"/>
    <col min="6404" max="6404" width="20.875" customWidth="1"/>
    <col min="6654" max="6654" width="2.875" customWidth="1"/>
    <col min="6655" max="6655" width="8.125" customWidth="1"/>
    <col min="6656" max="6656" width="8.75" customWidth="1"/>
    <col min="6657" max="6657" width="11" customWidth="1"/>
    <col min="6658" max="6658" width="2.875" customWidth="1"/>
    <col min="6659" max="6659" width="77.625" customWidth="1"/>
    <col min="6660" max="6660" width="20.875" customWidth="1"/>
    <col min="6910" max="6910" width="2.875" customWidth="1"/>
    <col min="6911" max="6911" width="8.125" customWidth="1"/>
    <col min="6912" max="6912" width="8.75" customWidth="1"/>
    <col min="6913" max="6913" width="11" customWidth="1"/>
    <col min="6914" max="6914" width="2.875" customWidth="1"/>
    <col min="6915" max="6915" width="77.625" customWidth="1"/>
    <col min="6916" max="6916" width="20.875" customWidth="1"/>
    <col min="7166" max="7166" width="2.875" customWidth="1"/>
    <col min="7167" max="7167" width="8.125" customWidth="1"/>
    <col min="7168" max="7168" width="8.75" customWidth="1"/>
    <col min="7169" max="7169" width="11" customWidth="1"/>
    <col min="7170" max="7170" width="2.875" customWidth="1"/>
    <col min="7171" max="7171" width="77.625" customWidth="1"/>
    <col min="7172" max="7172" width="20.875" customWidth="1"/>
    <col min="7422" max="7422" width="2.875" customWidth="1"/>
    <col min="7423" max="7423" width="8.125" customWidth="1"/>
    <col min="7424" max="7424" width="8.75" customWidth="1"/>
    <col min="7425" max="7425" width="11" customWidth="1"/>
    <col min="7426" max="7426" width="2.875" customWidth="1"/>
    <col min="7427" max="7427" width="77.625" customWidth="1"/>
    <col min="7428" max="7428" width="20.875" customWidth="1"/>
    <col min="7678" max="7678" width="2.875" customWidth="1"/>
    <col min="7679" max="7679" width="8.125" customWidth="1"/>
    <col min="7680" max="7680" width="8.75" customWidth="1"/>
    <col min="7681" max="7681" width="11" customWidth="1"/>
    <col min="7682" max="7682" width="2.875" customWidth="1"/>
    <col min="7683" max="7683" width="77.625" customWidth="1"/>
    <col min="7684" max="7684" width="20.875" customWidth="1"/>
    <col min="7934" max="7934" width="2.875" customWidth="1"/>
    <col min="7935" max="7935" width="8.125" customWidth="1"/>
    <col min="7936" max="7936" width="8.75" customWidth="1"/>
    <col min="7937" max="7937" width="11" customWidth="1"/>
    <col min="7938" max="7938" width="2.875" customWidth="1"/>
    <col min="7939" max="7939" width="77.625" customWidth="1"/>
    <col min="7940" max="7940" width="20.875" customWidth="1"/>
    <col min="8190" max="8190" width="2.875" customWidth="1"/>
    <col min="8191" max="8191" width="8.125" customWidth="1"/>
    <col min="8192" max="8192" width="8.75" customWidth="1"/>
    <col min="8193" max="8193" width="11" customWidth="1"/>
    <col min="8194" max="8194" width="2.875" customWidth="1"/>
    <col min="8195" max="8195" width="77.625" customWidth="1"/>
    <col min="8196" max="8196" width="20.875" customWidth="1"/>
    <col min="8446" max="8446" width="2.875" customWidth="1"/>
    <col min="8447" max="8447" width="8.125" customWidth="1"/>
    <col min="8448" max="8448" width="8.75" customWidth="1"/>
    <col min="8449" max="8449" width="11" customWidth="1"/>
    <col min="8450" max="8450" width="2.875" customWidth="1"/>
    <col min="8451" max="8451" width="77.625" customWidth="1"/>
    <col min="8452" max="8452" width="20.875" customWidth="1"/>
    <col min="8702" max="8702" width="2.875" customWidth="1"/>
    <col min="8703" max="8703" width="8.125" customWidth="1"/>
    <col min="8704" max="8704" width="8.75" customWidth="1"/>
    <col min="8705" max="8705" width="11" customWidth="1"/>
    <col min="8706" max="8706" width="2.875" customWidth="1"/>
    <col min="8707" max="8707" width="77.625" customWidth="1"/>
    <col min="8708" max="8708" width="20.875" customWidth="1"/>
    <col min="8958" max="8958" width="2.875" customWidth="1"/>
    <col min="8959" max="8959" width="8.125" customWidth="1"/>
    <col min="8960" max="8960" width="8.75" customWidth="1"/>
    <col min="8961" max="8961" width="11" customWidth="1"/>
    <col min="8962" max="8962" width="2.875" customWidth="1"/>
    <col min="8963" max="8963" width="77.625" customWidth="1"/>
    <col min="8964" max="8964" width="20.875" customWidth="1"/>
    <col min="9214" max="9214" width="2.875" customWidth="1"/>
    <col min="9215" max="9215" width="8.125" customWidth="1"/>
    <col min="9216" max="9216" width="8.75" customWidth="1"/>
    <col min="9217" max="9217" width="11" customWidth="1"/>
    <col min="9218" max="9218" width="2.875" customWidth="1"/>
    <col min="9219" max="9219" width="77.625" customWidth="1"/>
    <col min="9220" max="9220" width="20.875" customWidth="1"/>
    <col min="9470" max="9470" width="2.875" customWidth="1"/>
    <col min="9471" max="9471" width="8.125" customWidth="1"/>
    <col min="9472" max="9472" width="8.75" customWidth="1"/>
    <col min="9473" max="9473" width="11" customWidth="1"/>
    <col min="9474" max="9474" width="2.875" customWidth="1"/>
    <col min="9475" max="9475" width="77.625" customWidth="1"/>
    <col min="9476" max="9476" width="20.875" customWidth="1"/>
    <col min="9726" max="9726" width="2.875" customWidth="1"/>
    <col min="9727" max="9727" width="8.125" customWidth="1"/>
    <col min="9728" max="9728" width="8.75" customWidth="1"/>
    <col min="9729" max="9729" width="11" customWidth="1"/>
    <col min="9730" max="9730" width="2.875" customWidth="1"/>
    <col min="9731" max="9731" width="77.625" customWidth="1"/>
    <col min="9732" max="9732" width="20.875" customWidth="1"/>
    <col min="9982" max="9982" width="2.875" customWidth="1"/>
    <col min="9983" max="9983" width="8.125" customWidth="1"/>
    <col min="9984" max="9984" width="8.75" customWidth="1"/>
    <col min="9985" max="9985" width="11" customWidth="1"/>
    <col min="9986" max="9986" width="2.875" customWidth="1"/>
    <col min="9987" max="9987" width="77.625" customWidth="1"/>
    <col min="9988" max="9988" width="20.875" customWidth="1"/>
    <col min="10238" max="10238" width="2.875" customWidth="1"/>
    <col min="10239" max="10239" width="8.125" customWidth="1"/>
    <col min="10240" max="10240" width="8.75" customWidth="1"/>
    <col min="10241" max="10241" width="11" customWidth="1"/>
    <col min="10242" max="10242" width="2.875" customWidth="1"/>
    <col min="10243" max="10243" width="77.625" customWidth="1"/>
    <col min="10244" max="10244" width="20.875" customWidth="1"/>
    <col min="10494" max="10494" width="2.875" customWidth="1"/>
    <col min="10495" max="10495" width="8.125" customWidth="1"/>
    <col min="10496" max="10496" width="8.75" customWidth="1"/>
    <col min="10497" max="10497" width="11" customWidth="1"/>
    <col min="10498" max="10498" width="2.875" customWidth="1"/>
    <col min="10499" max="10499" width="77.625" customWidth="1"/>
    <col min="10500" max="10500" width="20.875" customWidth="1"/>
    <col min="10750" max="10750" width="2.875" customWidth="1"/>
    <col min="10751" max="10751" width="8.125" customWidth="1"/>
    <col min="10752" max="10752" width="8.75" customWidth="1"/>
    <col min="10753" max="10753" width="11" customWidth="1"/>
    <col min="10754" max="10754" width="2.875" customWidth="1"/>
    <col min="10755" max="10755" width="77.625" customWidth="1"/>
    <col min="10756" max="10756" width="20.875" customWidth="1"/>
    <col min="11006" max="11006" width="2.875" customWidth="1"/>
    <col min="11007" max="11007" width="8.125" customWidth="1"/>
    <col min="11008" max="11008" width="8.75" customWidth="1"/>
    <col min="11009" max="11009" width="11" customWidth="1"/>
    <col min="11010" max="11010" width="2.875" customWidth="1"/>
    <col min="11011" max="11011" width="77.625" customWidth="1"/>
    <col min="11012" max="11012" width="20.875" customWidth="1"/>
    <col min="11262" max="11262" width="2.875" customWidth="1"/>
    <col min="11263" max="11263" width="8.125" customWidth="1"/>
    <col min="11264" max="11264" width="8.75" customWidth="1"/>
    <col min="11265" max="11265" width="11" customWidth="1"/>
    <col min="11266" max="11266" width="2.875" customWidth="1"/>
    <col min="11267" max="11267" width="77.625" customWidth="1"/>
    <col min="11268" max="11268" width="20.875" customWidth="1"/>
    <col min="11518" max="11518" width="2.875" customWidth="1"/>
    <col min="11519" max="11519" width="8.125" customWidth="1"/>
    <col min="11520" max="11520" width="8.75" customWidth="1"/>
    <col min="11521" max="11521" width="11" customWidth="1"/>
    <col min="11522" max="11522" width="2.875" customWidth="1"/>
    <col min="11523" max="11523" width="77.625" customWidth="1"/>
    <col min="11524" max="11524" width="20.875" customWidth="1"/>
    <col min="11774" max="11774" width="2.875" customWidth="1"/>
    <col min="11775" max="11775" width="8.125" customWidth="1"/>
    <col min="11776" max="11776" width="8.75" customWidth="1"/>
    <col min="11777" max="11777" width="11" customWidth="1"/>
    <col min="11778" max="11778" width="2.875" customWidth="1"/>
    <col min="11779" max="11779" width="77.625" customWidth="1"/>
    <col min="11780" max="11780" width="20.875" customWidth="1"/>
    <col min="12030" max="12030" width="2.875" customWidth="1"/>
    <col min="12031" max="12031" width="8.125" customWidth="1"/>
    <col min="12032" max="12032" width="8.75" customWidth="1"/>
    <col min="12033" max="12033" width="11" customWidth="1"/>
    <col min="12034" max="12034" width="2.875" customWidth="1"/>
    <col min="12035" max="12035" width="77.625" customWidth="1"/>
    <col min="12036" max="12036" width="20.875" customWidth="1"/>
    <col min="12286" max="12286" width="2.875" customWidth="1"/>
    <col min="12287" max="12287" width="8.125" customWidth="1"/>
    <col min="12288" max="12288" width="8.75" customWidth="1"/>
    <col min="12289" max="12289" width="11" customWidth="1"/>
    <col min="12290" max="12290" width="2.875" customWidth="1"/>
    <col min="12291" max="12291" width="77.625" customWidth="1"/>
    <col min="12292" max="12292" width="20.875" customWidth="1"/>
    <col min="12542" max="12542" width="2.875" customWidth="1"/>
    <col min="12543" max="12543" width="8.125" customWidth="1"/>
    <col min="12544" max="12544" width="8.75" customWidth="1"/>
    <col min="12545" max="12545" width="11" customWidth="1"/>
    <col min="12546" max="12546" width="2.875" customWidth="1"/>
    <col min="12547" max="12547" width="77.625" customWidth="1"/>
    <col min="12548" max="12548" width="20.875" customWidth="1"/>
    <col min="12798" max="12798" width="2.875" customWidth="1"/>
    <col min="12799" max="12799" width="8.125" customWidth="1"/>
    <col min="12800" max="12800" width="8.75" customWidth="1"/>
    <col min="12801" max="12801" width="11" customWidth="1"/>
    <col min="12802" max="12802" width="2.875" customWidth="1"/>
    <col min="12803" max="12803" width="77.625" customWidth="1"/>
    <col min="12804" max="12804" width="20.875" customWidth="1"/>
    <col min="13054" max="13054" width="2.875" customWidth="1"/>
    <col min="13055" max="13055" width="8.125" customWidth="1"/>
    <col min="13056" max="13056" width="8.75" customWidth="1"/>
    <col min="13057" max="13057" width="11" customWidth="1"/>
    <col min="13058" max="13058" width="2.875" customWidth="1"/>
    <col min="13059" max="13059" width="77.625" customWidth="1"/>
    <col min="13060" max="13060" width="20.875" customWidth="1"/>
    <col min="13310" max="13310" width="2.875" customWidth="1"/>
    <col min="13311" max="13311" width="8.125" customWidth="1"/>
    <col min="13312" max="13312" width="8.75" customWidth="1"/>
    <col min="13313" max="13313" width="11" customWidth="1"/>
    <col min="13314" max="13314" width="2.875" customWidth="1"/>
    <col min="13315" max="13315" width="77.625" customWidth="1"/>
    <col min="13316" max="13316" width="20.875" customWidth="1"/>
    <col min="13566" max="13566" width="2.875" customWidth="1"/>
    <col min="13567" max="13567" width="8.125" customWidth="1"/>
    <col min="13568" max="13568" width="8.75" customWidth="1"/>
    <col min="13569" max="13569" width="11" customWidth="1"/>
    <col min="13570" max="13570" width="2.875" customWidth="1"/>
    <col min="13571" max="13571" width="77.625" customWidth="1"/>
    <col min="13572" max="13572" width="20.875" customWidth="1"/>
    <col min="13822" max="13822" width="2.875" customWidth="1"/>
    <col min="13823" max="13823" width="8.125" customWidth="1"/>
    <col min="13824" max="13824" width="8.75" customWidth="1"/>
    <col min="13825" max="13825" width="11" customWidth="1"/>
    <col min="13826" max="13826" width="2.875" customWidth="1"/>
    <col min="13827" max="13827" width="77.625" customWidth="1"/>
    <col min="13828" max="13828" width="20.875" customWidth="1"/>
    <col min="14078" max="14078" width="2.875" customWidth="1"/>
    <col min="14079" max="14079" width="8.125" customWidth="1"/>
    <col min="14080" max="14080" width="8.75" customWidth="1"/>
    <col min="14081" max="14081" width="11" customWidth="1"/>
    <col min="14082" max="14082" width="2.875" customWidth="1"/>
    <col min="14083" max="14083" width="77.625" customWidth="1"/>
    <col min="14084" max="14084" width="20.875" customWidth="1"/>
    <col min="14334" max="14334" width="2.875" customWidth="1"/>
    <col min="14335" max="14335" width="8.125" customWidth="1"/>
    <col min="14336" max="14336" width="8.75" customWidth="1"/>
    <col min="14337" max="14337" width="11" customWidth="1"/>
    <col min="14338" max="14338" width="2.875" customWidth="1"/>
    <col min="14339" max="14339" width="77.625" customWidth="1"/>
    <col min="14340" max="14340" width="20.875" customWidth="1"/>
    <col min="14590" max="14590" width="2.875" customWidth="1"/>
    <col min="14591" max="14591" width="8.125" customWidth="1"/>
    <col min="14592" max="14592" width="8.75" customWidth="1"/>
    <col min="14593" max="14593" width="11" customWidth="1"/>
    <col min="14594" max="14594" width="2.875" customWidth="1"/>
    <col min="14595" max="14595" width="77.625" customWidth="1"/>
    <col min="14596" max="14596" width="20.875" customWidth="1"/>
    <col min="14846" max="14846" width="2.875" customWidth="1"/>
    <col min="14847" max="14847" width="8.125" customWidth="1"/>
    <col min="14848" max="14848" width="8.75" customWidth="1"/>
    <col min="14849" max="14849" width="11" customWidth="1"/>
    <col min="14850" max="14850" width="2.875" customWidth="1"/>
    <col min="14851" max="14851" width="77.625" customWidth="1"/>
    <col min="14852" max="14852" width="20.875" customWidth="1"/>
    <col min="15102" max="15102" width="2.875" customWidth="1"/>
    <col min="15103" max="15103" width="8.125" customWidth="1"/>
    <col min="15104" max="15104" width="8.75" customWidth="1"/>
    <col min="15105" max="15105" width="11" customWidth="1"/>
    <col min="15106" max="15106" width="2.875" customWidth="1"/>
    <col min="15107" max="15107" width="77.625" customWidth="1"/>
    <col min="15108" max="15108" width="20.875" customWidth="1"/>
    <col min="15358" max="15358" width="2.875" customWidth="1"/>
    <col min="15359" max="15359" width="8.125" customWidth="1"/>
    <col min="15360" max="15360" width="8.75" customWidth="1"/>
    <col min="15361" max="15361" width="11" customWidth="1"/>
    <col min="15362" max="15362" width="2.875" customWidth="1"/>
    <col min="15363" max="15363" width="77.625" customWidth="1"/>
    <col min="15364" max="15364" width="20.875" customWidth="1"/>
    <col min="15614" max="15614" width="2.875" customWidth="1"/>
    <col min="15615" max="15615" width="8.125" customWidth="1"/>
    <col min="15616" max="15616" width="8.75" customWidth="1"/>
    <col min="15617" max="15617" width="11" customWidth="1"/>
    <col min="15618" max="15618" width="2.875" customWidth="1"/>
    <col min="15619" max="15619" width="77.625" customWidth="1"/>
    <col min="15620" max="15620" width="20.875" customWidth="1"/>
    <col min="15870" max="15870" width="2.875" customWidth="1"/>
    <col min="15871" max="15871" width="8.125" customWidth="1"/>
    <col min="15872" max="15872" width="8.75" customWidth="1"/>
    <col min="15873" max="15873" width="11" customWidth="1"/>
    <col min="15874" max="15874" width="2.875" customWidth="1"/>
    <col min="15875" max="15875" width="77.625" customWidth="1"/>
    <col min="15876" max="15876" width="20.875" customWidth="1"/>
    <col min="16126" max="16126" width="2.875" customWidth="1"/>
    <col min="16127" max="16127" width="8.125" customWidth="1"/>
    <col min="16128" max="16128" width="8.75" customWidth="1"/>
    <col min="16129" max="16129" width="11" customWidth="1"/>
    <col min="16130" max="16130" width="2.875" customWidth="1"/>
    <col min="16131" max="16131" width="77.625" customWidth="1"/>
    <col min="16132" max="16132" width="20.875" customWidth="1"/>
  </cols>
  <sheetData>
    <row r="1" spans="1:15" ht="22.5" customHeight="1" x14ac:dyDescent="0.4">
      <c r="A1" s="34" t="s">
        <v>0</v>
      </c>
      <c r="B1" s="35"/>
      <c r="C1" s="36"/>
      <c r="D1" s="36"/>
      <c r="E1" s="36"/>
      <c r="F1" s="35"/>
      <c r="G1" s="148"/>
      <c r="H1" s="35"/>
      <c r="I1" s="35"/>
      <c r="J1" s="35"/>
      <c r="K1" s="35"/>
      <c r="L1" s="35"/>
      <c r="M1" s="35"/>
      <c r="N1" s="35"/>
      <c r="O1" s="35"/>
    </row>
    <row r="2" spans="1:15" ht="22.5" customHeight="1" x14ac:dyDescent="0.4">
      <c r="A2" s="34" t="s">
        <v>756</v>
      </c>
      <c r="B2" s="35"/>
      <c r="C2" s="36"/>
      <c r="D2" s="36"/>
      <c r="E2" s="36"/>
      <c r="F2" s="35"/>
      <c r="G2" s="148"/>
      <c r="H2" s="35"/>
      <c r="I2" s="35"/>
      <c r="J2" s="35"/>
      <c r="K2" s="35"/>
      <c r="L2" s="35"/>
      <c r="M2" s="35"/>
      <c r="N2" s="35"/>
      <c r="O2" s="35"/>
    </row>
    <row r="3" spans="1:15" ht="21.75" customHeight="1" x14ac:dyDescent="0.4">
      <c r="A3" s="34" t="s">
        <v>757</v>
      </c>
      <c r="B3" s="35"/>
      <c r="C3" s="36"/>
      <c r="D3" s="36"/>
      <c r="E3" s="36"/>
      <c r="F3" s="35"/>
      <c r="G3" s="148"/>
      <c r="H3" s="35"/>
      <c r="I3" s="35"/>
      <c r="J3" s="35"/>
      <c r="K3" s="35"/>
      <c r="L3" s="35"/>
      <c r="M3" s="35"/>
      <c r="N3" s="35"/>
      <c r="O3" s="35"/>
    </row>
    <row r="4" spans="1:15" ht="22.5" customHeight="1" x14ac:dyDescent="0.35">
      <c r="B4" s="35"/>
      <c r="C4" s="36"/>
      <c r="D4" s="36"/>
      <c r="E4" s="36"/>
      <c r="F4" s="35"/>
      <c r="G4" s="148"/>
      <c r="H4" s="35"/>
      <c r="I4" s="35"/>
      <c r="J4" s="35"/>
      <c r="K4" s="35"/>
      <c r="L4" s="35"/>
      <c r="M4" s="35"/>
      <c r="N4" s="35"/>
      <c r="O4" s="35"/>
    </row>
    <row r="5" spans="1:15" s="38" customFormat="1" ht="8.25" customHeight="1" thickBot="1" x14ac:dyDescent="0.25">
      <c r="A5" s="37"/>
      <c r="B5" s="37"/>
      <c r="C5" s="37"/>
      <c r="D5" s="37"/>
      <c r="E5" s="37"/>
      <c r="F5" s="37"/>
      <c r="G5" s="149"/>
    </row>
    <row r="6" spans="1:15" s="41" customFormat="1" ht="24.75" customHeight="1" thickTop="1" thickBot="1" x14ac:dyDescent="0.25">
      <c r="A6" s="39" t="s">
        <v>3</v>
      </c>
      <c r="B6" s="39"/>
      <c r="C6" s="39"/>
      <c r="D6" s="39"/>
      <c r="E6" s="39"/>
      <c r="F6" s="39"/>
      <c r="G6" s="267"/>
      <c r="H6" s="156" t="s">
        <v>4</v>
      </c>
      <c r="I6" s="156"/>
      <c r="J6" s="812" t="s">
        <v>758</v>
      </c>
      <c r="K6" s="812"/>
      <c r="L6" s="812"/>
      <c r="M6" s="812"/>
      <c r="N6" s="40"/>
      <c r="O6" s="275"/>
    </row>
    <row r="7" spans="1:15" s="43" customFormat="1" ht="21" customHeight="1" thickTop="1" x14ac:dyDescent="0.2">
      <c r="A7" s="42"/>
      <c r="B7" s="42"/>
      <c r="C7" s="42"/>
      <c r="D7" s="42"/>
      <c r="E7" s="42"/>
      <c r="F7" s="42"/>
      <c r="G7" s="150"/>
      <c r="J7" s="561" t="s">
        <v>759</v>
      </c>
      <c r="K7" s="561" t="s">
        <v>760</v>
      </c>
      <c r="M7" s="561" t="s">
        <v>761</v>
      </c>
    </row>
    <row r="8" spans="1:15" s="43" customFormat="1" ht="21" customHeight="1" x14ac:dyDescent="0.3">
      <c r="A8" s="42"/>
      <c r="B8" s="42"/>
      <c r="C8" s="42"/>
      <c r="D8" s="42"/>
      <c r="E8" s="42"/>
      <c r="F8" s="42"/>
      <c r="G8" s="150"/>
      <c r="J8" s="561" t="s">
        <v>762</v>
      </c>
      <c r="K8" s="561" t="s">
        <v>762</v>
      </c>
      <c r="M8" s="561" t="s">
        <v>763</v>
      </c>
      <c r="O8" s="180" t="s">
        <v>764</v>
      </c>
    </row>
    <row r="9" spans="1:15" ht="21" thickBot="1" x14ac:dyDescent="0.35">
      <c r="A9" s="44"/>
      <c r="B9" s="97" t="s">
        <v>7</v>
      </c>
      <c r="C9" s="97"/>
      <c r="D9" s="97"/>
      <c r="E9" s="97"/>
      <c r="F9" s="97"/>
      <c r="G9" s="186">
        <v>41090</v>
      </c>
      <c r="H9" s="186">
        <v>41274</v>
      </c>
      <c r="I9" s="223"/>
      <c r="J9" s="186" t="s">
        <v>765</v>
      </c>
      <c r="K9" s="443" t="s">
        <v>766</v>
      </c>
      <c r="L9" s="223"/>
      <c r="M9" s="443" t="s">
        <v>767</v>
      </c>
      <c r="O9" s="443" t="s">
        <v>767</v>
      </c>
    </row>
    <row r="10" spans="1:15" s="43" customFormat="1" ht="20.25" x14ac:dyDescent="0.2">
      <c r="A10" s="42"/>
      <c r="B10" s="42"/>
      <c r="C10" s="46" t="s">
        <v>14</v>
      </c>
      <c r="D10" s="46"/>
      <c r="E10" s="46"/>
      <c r="F10" s="42"/>
      <c r="G10" s="150">
        <v>127719</v>
      </c>
      <c r="H10" s="150">
        <v>67566.5</v>
      </c>
      <c r="I10" s="150"/>
      <c r="J10" s="159">
        <f>'August''25 State of Activities'!H9</f>
        <v>135426.89000000001</v>
      </c>
      <c r="K10" s="159">
        <v>54000</v>
      </c>
      <c r="L10" s="159"/>
      <c r="M10" s="560">
        <f>J10+K10</f>
        <v>189426.89</v>
      </c>
      <c r="O10" s="260">
        <v>92000</v>
      </c>
    </row>
    <row r="11" spans="1:15" s="43" customFormat="1" ht="20.25" x14ac:dyDescent="0.2">
      <c r="A11" s="42"/>
      <c r="B11" s="42"/>
      <c r="C11" s="46" t="s">
        <v>102</v>
      </c>
      <c r="D11" s="46"/>
      <c r="E11" s="46"/>
      <c r="F11" s="42"/>
      <c r="G11" s="159">
        <v>875436</v>
      </c>
      <c r="H11" s="159">
        <v>372424.1</v>
      </c>
      <c r="I11" s="159"/>
      <c r="J11" s="150">
        <v>2148</v>
      </c>
      <c r="K11" s="150">
        <f>4300-J11</f>
        <v>2152</v>
      </c>
      <c r="L11" s="159"/>
      <c r="M11" s="150">
        <f>J11+K11</f>
        <v>4300</v>
      </c>
      <c r="O11" s="334">
        <v>4000</v>
      </c>
    </row>
    <row r="12" spans="1:15" s="43" customFormat="1" ht="20.25" x14ac:dyDescent="0.2">
      <c r="A12" s="42"/>
      <c r="B12" s="42"/>
      <c r="C12" s="46" t="s">
        <v>16</v>
      </c>
      <c r="D12" s="46"/>
      <c r="E12" s="46"/>
      <c r="F12" s="42"/>
      <c r="G12" s="150"/>
      <c r="H12" s="150"/>
      <c r="I12" s="150"/>
      <c r="J12" s="150"/>
      <c r="K12" s="150"/>
      <c r="L12" s="150"/>
      <c r="M12" s="150"/>
      <c r="O12" s="334"/>
    </row>
    <row r="13" spans="1:15" s="43" customFormat="1" ht="20.25" x14ac:dyDescent="0.2">
      <c r="A13" s="42"/>
      <c r="B13" s="42"/>
      <c r="D13" s="46" t="s">
        <v>104</v>
      </c>
      <c r="E13" s="46"/>
      <c r="F13" s="42"/>
      <c r="G13" s="150">
        <v>94235.25</v>
      </c>
      <c r="H13" s="150">
        <v>37190.379999999997</v>
      </c>
      <c r="I13" s="150"/>
      <c r="J13" s="150" t="e">
        <f>'August''25 Revenues &amp; Expenses'!#REF!</f>
        <v>#REF!</v>
      </c>
      <c r="K13" s="150" t="e">
        <f>J13</f>
        <v>#REF!</v>
      </c>
      <c r="L13" s="150"/>
      <c r="M13" s="150" t="e">
        <f t="shared" ref="M13:M23" si="0">J13+K13</f>
        <v>#REF!</v>
      </c>
      <c r="O13" s="334">
        <v>47500</v>
      </c>
    </row>
    <row r="14" spans="1:15" s="43" customFormat="1" ht="20.25" x14ac:dyDescent="0.2">
      <c r="A14" s="42"/>
      <c r="B14" s="42"/>
      <c r="D14" s="46" t="s">
        <v>18</v>
      </c>
      <c r="E14" s="46"/>
      <c r="F14" s="42"/>
      <c r="G14" s="150"/>
      <c r="H14" s="150"/>
      <c r="I14" s="150"/>
      <c r="J14" s="150">
        <f>'August''25 Revenues &amp; Expenses'!J16</f>
        <v>9000</v>
      </c>
      <c r="K14" s="150">
        <f>J14</f>
        <v>9000</v>
      </c>
      <c r="L14" s="150"/>
      <c r="M14" s="150">
        <f t="shared" si="0"/>
        <v>18000</v>
      </c>
      <c r="O14" s="334">
        <v>18000</v>
      </c>
    </row>
    <row r="15" spans="1:15" s="43" customFormat="1" ht="20.25" x14ac:dyDescent="0.2">
      <c r="A15" s="42"/>
      <c r="B15" s="42"/>
      <c r="C15" s="46" t="s">
        <v>105</v>
      </c>
      <c r="D15" s="46"/>
      <c r="E15" s="46"/>
      <c r="F15" s="42"/>
      <c r="G15" s="150">
        <v>0</v>
      </c>
      <c r="H15" s="150">
        <v>3517</v>
      </c>
      <c r="I15" s="150"/>
      <c r="J15" s="150">
        <f>'August''25 State of Activities'!H20</f>
        <v>10108.5</v>
      </c>
      <c r="K15" s="150">
        <v>10000</v>
      </c>
      <c r="L15" s="150"/>
      <c r="M15" s="150">
        <f t="shared" si="0"/>
        <v>20108.5</v>
      </c>
      <c r="O15" s="334">
        <v>20000</v>
      </c>
    </row>
    <row r="16" spans="1:15" s="43" customFormat="1" ht="20.25" x14ac:dyDescent="0.2">
      <c r="A16" s="42"/>
      <c r="B16" s="42"/>
      <c r="C16" s="46" t="s">
        <v>768</v>
      </c>
      <c r="D16" s="46"/>
      <c r="E16" s="46"/>
      <c r="F16" s="42"/>
      <c r="G16" s="150"/>
      <c r="H16" s="150"/>
      <c r="I16" s="150"/>
      <c r="J16" s="150"/>
      <c r="K16" s="150">
        <v>15000</v>
      </c>
      <c r="L16" s="150"/>
      <c r="M16" s="515">
        <f t="shared" si="0"/>
        <v>15000</v>
      </c>
      <c r="O16" s="334"/>
    </row>
    <row r="17" spans="2:15" s="43" customFormat="1" ht="20.25" x14ac:dyDescent="0.2">
      <c r="B17" s="42"/>
      <c r="C17" s="46" t="s">
        <v>715</v>
      </c>
      <c r="D17" s="46"/>
      <c r="E17" s="46"/>
      <c r="F17" s="42"/>
      <c r="G17" s="150">
        <v>31459</v>
      </c>
      <c r="H17" s="150">
        <v>13920.35</v>
      </c>
      <c r="I17" s="150"/>
      <c r="J17" s="150">
        <f>'August''25 Revenues &amp; Expenses'!I33</f>
        <v>0</v>
      </c>
      <c r="K17" s="150">
        <f>27500-J17</f>
        <v>27500</v>
      </c>
      <c r="L17" s="150"/>
      <c r="M17" s="150">
        <f t="shared" si="0"/>
        <v>27500</v>
      </c>
      <c r="O17" s="334">
        <v>27500</v>
      </c>
    </row>
    <row r="18" spans="2:15" s="43" customFormat="1" ht="20.25" x14ac:dyDescent="0.2">
      <c r="B18" s="42"/>
      <c r="C18" s="46" t="s">
        <v>716</v>
      </c>
      <c r="D18" s="46"/>
      <c r="E18" s="46"/>
      <c r="F18" s="42"/>
      <c r="G18" s="150"/>
      <c r="H18" s="150"/>
      <c r="I18" s="150"/>
      <c r="J18" s="150">
        <v>11255.53</v>
      </c>
      <c r="K18" s="150">
        <v>12500</v>
      </c>
      <c r="L18" s="150"/>
      <c r="M18" s="150">
        <f t="shared" si="0"/>
        <v>23755.53</v>
      </c>
      <c r="O18" s="334">
        <v>25000</v>
      </c>
    </row>
    <row r="19" spans="2:15" s="43" customFormat="1" ht="20.25" x14ac:dyDescent="0.2">
      <c r="B19" s="42"/>
      <c r="C19" s="46" t="s">
        <v>754</v>
      </c>
      <c r="D19" s="46"/>
      <c r="E19" s="46"/>
      <c r="F19" s="42"/>
      <c r="G19" s="150"/>
      <c r="H19" s="150"/>
      <c r="I19" s="150"/>
      <c r="J19" s="150">
        <f>4166.67*6</f>
        <v>25000.02</v>
      </c>
      <c r="K19" s="150">
        <f>J19</f>
        <v>25000.02</v>
      </c>
      <c r="L19" s="150"/>
      <c r="M19" s="150">
        <f t="shared" si="0"/>
        <v>50000.04</v>
      </c>
      <c r="O19" s="334">
        <v>50000</v>
      </c>
    </row>
    <row r="20" spans="2:15" s="43" customFormat="1" ht="20.25" x14ac:dyDescent="0.2">
      <c r="B20" s="42"/>
      <c r="C20" s="46" t="s">
        <v>717</v>
      </c>
      <c r="D20" s="46"/>
      <c r="E20" s="46"/>
      <c r="F20" s="42"/>
      <c r="G20" s="150"/>
      <c r="H20" s="150"/>
      <c r="I20" s="150"/>
      <c r="J20" s="150">
        <f>7142.85*1</f>
        <v>7142.85</v>
      </c>
      <c r="K20" s="150">
        <f>50000-J20</f>
        <v>42857.15</v>
      </c>
      <c r="L20" s="150"/>
      <c r="M20" s="515">
        <f t="shared" si="0"/>
        <v>50000</v>
      </c>
      <c r="O20" s="334">
        <v>0</v>
      </c>
    </row>
    <row r="21" spans="2:15" s="43" customFormat="1" ht="20.25" hidden="1" x14ac:dyDescent="0.2">
      <c r="B21" s="42"/>
      <c r="C21" s="46" t="s">
        <v>769</v>
      </c>
      <c r="D21" s="46"/>
      <c r="E21" s="46"/>
      <c r="F21" s="42"/>
      <c r="G21" s="150"/>
      <c r="H21" s="150"/>
      <c r="I21" s="150"/>
      <c r="J21" s="150">
        <v>0</v>
      </c>
      <c r="K21" s="150">
        <v>0</v>
      </c>
      <c r="L21" s="150"/>
      <c r="M21" s="150">
        <f t="shared" si="0"/>
        <v>0</v>
      </c>
      <c r="O21" s="334"/>
    </row>
    <row r="22" spans="2:15" s="43" customFormat="1" ht="20.25" x14ac:dyDescent="0.2">
      <c r="B22" s="42"/>
      <c r="C22" s="46" t="s">
        <v>397</v>
      </c>
      <c r="D22" s="46"/>
      <c r="E22" s="46"/>
      <c r="F22" s="42"/>
      <c r="G22" s="150"/>
      <c r="H22" s="150"/>
      <c r="I22" s="150"/>
      <c r="J22" s="150">
        <v>90</v>
      </c>
      <c r="K22" s="150">
        <v>90</v>
      </c>
      <c r="L22" s="150"/>
      <c r="M22" s="150">
        <f t="shared" si="0"/>
        <v>180</v>
      </c>
      <c r="O22" s="334">
        <v>0</v>
      </c>
    </row>
    <row r="23" spans="2:15" s="43" customFormat="1" ht="20.25" customHeight="1" x14ac:dyDescent="0.2">
      <c r="B23" s="42"/>
      <c r="C23" s="814" t="s">
        <v>723</v>
      </c>
      <c r="D23" s="814"/>
      <c r="E23" s="814"/>
      <c r="F23" s="814"/>
      <c r="G23" s="150"/>
      <c r="H23" s="150"/>
      <c r="I23" s="150"/>
      <c r="J23" s="150">
        <v>529.88</v>
      </c>
      <c r="K23" s="150">
        <v>0</v>
      </c>
      <c r="L23" s="150"/>
      <c r="M23" s="150">
        <f t="shared" si="0"/>
        <v>529.88</v>
      </c>
      <c r="O23" s="334">
        <v>0</v>
      </c>
    </row>
    <row r="24" spans="2:15" s="43" customFormat="1" ht="21" thickBot="1" x14ac:dyDescent="0.25">
      <c r="B24" s="42"/>
      <c r="C24" s="46" t="s">
        <v>108</v>
      </c>
      <c r="D24" s="46"/>
      <c r="E24" s="46"/>
      <c r="F24" s="42"/>
      <c r="G24" s="157">
        <v>31250</v>
      </c>
      <c r="H24" s="157">
        <v>15624.98</v>
      </c>
      <c r="I24" s="150"/>
      <c r="J24" s="157" t="e">
        <f>'August''25 State of Activities'!#REF!*0.2</f>
        <v>#REF!</v>
      </c>
      <c r="K24" s="157" t="e">
        <f>J24</f>
        <v>#REF!</v>
      </c>
      <c r="L24" s="150"/>
      <c r="M24" s="157" t="e">
        <f>J24+K24</f>
        <v>#REF!</v>
      </c>
      <c r="O24" s="259" t="e">
        <f>M24</f>
        <v>#REF!</v>
      </c>
    </row>
    <row r="25" spans="2:15" s="43" customFormat="1" ht="20.25" x14ac:dyDescent="0.2">
      <c r="B25" s="42"/>
      <c r="C25" s="46"/>
      <c r="D25" s="42" t="s">
        <v>33</v>
      </c>
      <c r="E25" s="46"/>
      <c r="F25" s="42"/>
      <c r="G25" s="150">
        <v>1161224.25</v>
      </c>
      <c r="H25" s="150">
        <v>516293.30999999994</v>
      </c>
      <c r="I25" s="150"/>
      <c r="J25" s="150" t="e">
        <f>SUM(J10:J24)</f>
        <v>#REF!</v>
      </c>
      <c r="K25" s="150" t="e">
        <f>SUM(K10:K24)</f>
        <v>#REF!</v>
      </c>
      <c r="L25" s="150"/>
      <c r="M25" s="150" t="e">
        <f>SUM(M10:M24)</f>
        <v>#REF!</v>
      </c>
      <c r="O25" s="150" t="e">
        <f>SUM(O10:O24)</f>
        <v>#REF!</v>
      </c>
    </row>
    <row r="26" spans="2:15" s="43" customFormat="1" ht="21" thickBot="1" x14ac:dyDescent="0.25">
      <c r="B26" s="42"/>
      <c r="C26" s="42" t="s">
        <v>109</v>
      </c>
      <c r="D26" s="46"/>
      <c r="E26" s="46"/>
      <c r="F26" s="42"/>
      <c r="G26" s="157">
        <v>150176</v>
      </c>
      <c r="H26" s="157">
        <v>47700.27</v>
      </c>
      <c r="I26" s="150"/>
      <c r="J26" s="150">
        <f>21000/12*6</f>
        <v>10500</v>
      </c>
      <c r="K26" s="150">
        <f>J26</f>
        <v>10500</v>
      </c>
      <c r="L26" s="150"/>
      <c r="M26" s="150">
        <f>J26+K26</f>
        <v>21000</v>
      </c>
      <c r="O26" s="334">
        <v>20000</v>
      </c>
    </row>
    <row r="27" spans="2:15" s="43" customFormat="1" ht="21" thickBot="1" x14ac:dyDescent="0.25">
      <c r="B27" s="42"/>
      <c r="C27" s="42" t="s">
        <v>110</v>
      </c>
      <c r="D27" s="46"/>
      <c r="E27" s="46"/>
      <c r="F27" s="42"/>
      <c r="G27" s="150"/>
      <c r="H27" s="150"/>
      <c r="I27" s="150"/>
      <c r="J27" s="157">
        <v>15097.54</v>
      </c>
      <c r="K27" s="157">
        <v>14500</v>
      </c>
      <c r="L27" s="150"/>
      <c r="M27" s="157">
        <f>J27+K27</f>
        <v>29597.54</v>
      </c>
      <c r="O27" s="259">
        <v>26568</v>
      </c>
    </row>
    <row r="28" spans="2:15" s="43" customFormat="1" ht="20.25" x14ac:dyDescent="0.2">
      <c r="B28" s="42"/>
      <c r="C28" s="46"/>
      <c r="D28" s="42" t="s">
        <v>111</v>
      </c>
      <c r="E28" s="46"/>
      <c r="F28" s="42"/>
      <c r="G28" s="150">
        <v>1311400.25</v>
      </c>
      <c r="H28" s="150">
        <v>563993.57999999996</v>
      </c>
      <c r="I28" s="150"/>
      <c r="J28" s="150" t="e">
        <f>SUM(J25:J27)</f>
        <v>#REF!</v>
      </c>
      <c r="K28" s="150" t="e">
        <f>SUM(K25:K27)</f>
        <v>#REF!</v>
      </c>
      <c r="L28" s="150"/>
      <c r="M28" s="150" t="e">
        <f>SUM(M25:M27)</f>
        <v>#REF!</v>
      </c>
      <c r="O28" s="150" t="e">
        <f>SUM(O25:O27)</f>
        <v>#REF!</v>
      </c>
    </row>
    <row r="29" spans="2:15" s="43" customFormat="1" ht="20.25" x14ac:dyDescent="0.2">
      <c r="B29" s="42"/>
      <c r="C29" s="46"/>
      <c r="D29" s="42"/>
      <c r="E29" s="46"/>
      <c r="F29" s="42"/>
      <c r="G29" s="150"/>
      <c r="H29" s="150"/>
      <c r="I29" s="150"/>
      <c r="J29" s="150"/>
      <c r="K29" s="400"/>
      <c r="L29" s="150"/>
      <c r="M29" s="150"/>
    </row>
    <row r="30" spans="2:15" s="43" customFormat="1" ht="21" thickBot="1" x14ac:dyDescent="0.25">
      <c r="B30" s="54" t="s">
        <v>34</v>
      </c>
      <c r="C30" s="54"/>
      <c r="D30" s="54"/>
      <c r="E30" s="54"/>
      <c r="F30" s="54"/>
      <c r="G30" s="157"/>
      <c r="J30" s="150"/>
    </row>
    <row r="31" spans="2:15" s="43" customFormat="1" ht="20.25" x14ac:dyDescent="0.2">
      <c r="B31" s="42"/>
      <c r="C31" s="46" t="s">
        <v>114</v>
      </c>
      <c r="D31" s="46"/>
      <c r="E31" s="46"/>
      <c r="F31" s="46"/>
      <c r="G31" s="150">
        <v>733747.79999999993</v>
      </c>
      <c r="H31" s="181">
        <v>361976</v>
      </c>
      <c r="I31" s="181"/>
      <c r="J31" s="150"/>
      <c r="K31" s="181"/>
      <c r="L31" s="181"/>
      <c r="M31" s="181"/>
    </row>
    <row r="32" spans="2:15" s="43" customFormat="1" ht="20.25" x14ac:dyDescent="0.2">
      <c r="B32" s="42"/>
      <c r="C32" s="46"/>
      <c r="D32" s="814" t="s">
        <v>115</v>
      </c>
      <c r="E32" s="814"/>
      <c r="F32" s="814"/>
      <c r="G32" s="150"/>
      <c r="H32" s="181"/>
      <c r="I32" s="181"/>
      <c r="J32" s="150">
        <v>116661.22</v>
      </c>
      <c r="K32" s="150">
        <f>119814</f>
        <v>119814</v>
      </c>
      <c r="L32" s="181"/>
      <c r="M32" s="150">
        <f t="shared" ref="M32:M51" si="1">J32+K32</f>
        <v>236475.22</v>
      </c>
      <c r="O32" s="181">
        <v>242550</v>
      </c>
    </row>
    <row r="33" spans="2:15" s="43" customFormat="1" ht="20.25" x14ac:dyDescent="0.2">
      <c r="B33" s="42"/>
      <c r="C33" s="46"/>
      <c r="D33" s="814" t="s">
        <v>117</v>
      </c>
      <c r="E33" s="814"/>
      <c r="F33" s="814"/>
      <c r="G33" s="150"/>
      <c r="H33" s="181"/>
      <c r="I33" s="181"/>
      <c r="J33" s="150">
        <f>24422.9+14066.9</f>
        <v>38489.800000000003</v>
      </c>
      <c r="K33" s="150">
        <f>6240+24352+13838.5</f>
        <v>44430.5</v>
      </c>
      <c r="L33" s="181"/>
      <c r="M33" s="150">
        <f t="shared" si="1"/>
        <v>82920.3</v>
      </c>
      <c r="O33" s="181">
        <v>88858</v>
      </c>
    </row>
    <row r="34" spans="2:15" s="43" customFormat="1" ht="20.25" x14ac:dyDescent="0.2">
      <c r="B34" s="42"/>
      <c r="C34" s="46"/>
      <c r="D34" s="814" t="s">
        <v>36</v>
      </c>
      <c r="E34" s="814"/>
      <c r="F34" s="814"/>
      <c r="G34" s="150"/>
      <c r="H34" s="181"/>
      <c r="I34" s="181"/>
      <c r="J34" s="150">
        <f>J32*0.213+J33*0.14</f>
        <v>30237.41186</v>
      </c>
      <c r="K34" s="150">
        <f>23009.3+1310.4+4521.77+2750.44+400</f>
        <v>31991.91</v>
      </c>
      <c r="L34" s="181"/>
      <c r="M34" s="150">
        <f t="shared" si="1"/>
        <v>62229.321859999996</v>
      </c>
      <c r="O34" s="181">
        <v>60758</v>
      </c>
    </row>
    <row r="35" spans="2:15" s="43" customFormat="1" ht="20.25" x14ac:dyDescent="0.2">
      <c r="B35" s="42"/>
      <c r="C35" s="46" t="s">
        <v>118</v>
      </c>
      <c r="D35" s="46"/>
      <c r="E35" s="46"/>
      <c r="F35" s="46"/>
      <c r="G35" s="150">
        <v>44745.18</v>
      </c>
      <c r="H35" s="150">
        <v>20974.21</v>
      </c>
      <c r="I35" s="150"/>
      <c r="J35" s="493"/>
      <c r="K35" s="493"/>
      <c r="L35" s="493"/>
      <c r="M35" s="150">
        <f t="shared" si="1"/>
        <v>0</v>
      </c>
      <c r="O35" s="513"/>
    </row>
    <row r="36" spans="2:15" s="43" customFormat="1" ht="20.25" x14ac:dyDescent="0.2">
      <c r="B36" s="42"/>
      <c r="C36" s="46"/>
      <c r="D36" s="814" t="s">
        <v>119</v>
      </c>
      <c r="E36" s="814"/>
      <c r="F36" s="814"/>
      <c r="G36" s="150"/>
      <c r="H36" s="150"/>
      <c r="I36" s="150"/>
      <c r="J36" s="150">
        <v>16535.79</v>
      </c>
      <c r="K36" s="150">
        <v>18600</v>
      </c>
      <c r="L36" s="150"/>
      <c r="M36" s="150">
        <f t="shared" si="1"/>
        <v>35135.79</v>
      </c>
      <c r="O36" s="181">
        <v>38000</v>
      </c>
    </row>
    <row r="37" spans="2:15" s="43" customFormat="1" ht="20.25" x14ac:dyDescent="0.2">
      <c r="B37" s="42"/>
      <c r="C37" s="46"/>
      <c r="D37" s="814" t="s">
        <v>120</v>
      </c>
      <c r="E37" s="814"/>
      <c r="F37" s="814"/>
      <c r="G37" s="150"/>
      <c r="H37" s="150"/>
      <c r="I37" s="150"/>
      <c r="J37" s="150">
        <v>7701.43</v>
      </c>
      <c r="K37" s="150">
        <v>5590</v>
      </c>
      <c r="L37" s="150"/>
      <c r="M37" s="150">
        <f t="shared" si="1"/>
        <v>13291.43</v>
      </c>
      <c r="O37" s="181">
        <v>26000</v>
      </c>
    </row>
    <row r="38" spans="2:15" s="43" customFormat="1" ht="20.25" x14ac:dyDescent="0.2">
      <c r="B38" s="42"/>
      <c r="C38" s="46"/>
      <c r="D38" s="814" t="s">
        <v>121</v>
      </c>
      <c r="E38" s="814"/>
      <c r="F38" s="814"/>
      <c r="G38" s="150"/>
      <c r="H38" s="150"/>
      <c r="I38" s="150"/>
      <c r="J38" s="150">
        <v>7462.62</v>
      </c>
      <c r="K38" s="150">
        <v>5500</v>
      </c>
      <c r="L38" s="150"/>
      <c r="M38" s="150">
        <f t="shared" si="1"/>
        <v>12962.619999999999</v>
      </c>
      <c r="O38" s="181">
        <v>7500</v>
      </c>
    </row>
    <row r="39" spans="2:15" s="43" customFormat="1" ht="20.25" x14ac:dyDescent="0.2">
      <c r="B39" s="42"/>
      <c r="C39" s="46"/>
      <c r="D39" s="814" t="s">
        <v>122</v>
      </c>
      <c r="E39" s="814"/>
      <c r="F39" s="814"/>
      <c r="G39" s="150"/>
      <c r="H39" s="150"/>
      <c r="I39" s="150"/>
      <c r="J39" s="150">
        <v>557.5</v>
      </c>
      <c r="K39" s="150">
        <v>100</v>
      </c>
      <c r="L39" s="150"/>
      <c r="M39" s="150">
        <f t="shared" si="1"/>
        <v>657.5</v>
      </c>
      <c r="O39" s="181">
        <v>275</v>
      </c>
    </row>
    <row r="40" spans="2:15" s="43" customFormat="1" ht="20.25" x14ac:dyDescent="0.2">
      <c r="B40" s="42"/>
      <c r="C40" s="46" t="s">
        <v>123</v>
      </c>
      <c r="D40" s="46"/>
      <c r="E40" s="46"/>
      <c r="F40" s="46"/>
      <c r="G40" s="150">
        <v>27200</v>
      </c>
      <c r="H40" s="150">
        <v>11327</v>
      </c>
      <c r="I40" s="150"/>
      <c r="J40" s="150">
        <v>13648.5</v>
      </c>
      <c r="K40" s="150">
        <f>J40</f>
        <v>13648.5</v>
      </c>
      <c r="L40" s="150"/>
      <c r="M40" s="150">
        <f t="shared" si="1"/>
        <v>27297</v>
      </c>
      <c r="O40" s="181">
        <v>19430</v>
      </c>
    </row>
    <row r="41" spans="2:15" s="43" customFormat="1" ht="20.25" x14ac:dyDescent="0.2">
      <c r="B41" s="42"/>
      <c r="C41" s="46" t="s">
        <v>38</v>
      </c>
      <c r="D41" s="46"/>
      <c r="E41" s="46"/>
      <c r="F41" s="46"/>
      <c r="G41" s="150">
        <v>150176</v>
      </c>
      <c r="H41" s="181">
        <v>47700.27</v>
      </c>
      <c r="I41" s="181"/>
      <c r="J41" s="150" t="e">
        <f>J24</f>
        <v>#REF!</v>
      </c>
      <c r="K41" s="150" t="e">
        <f>J41</f>
        <v>#REF!</v>
      </c>
      <c r="L41" s="181"/>
      <c r="M41" s="150" t="e">
        <f t="shared" si="1"/>
        <v>#REF!</v>
      </c>
      <c r="O41" s="181" t="e">
        <f>M41</f>
        <v>#REF!</v>
      </c>
    </row>
    <row r="42" spans="2:15" s="43" customFormat="1" ht="20.25" x14ac:dyDescent="0.2">
      <c r="B42" s="42"/>
      <c r="C42" s="46" t="s">
        <v>124</v>
      </c>
      <c r="D42" s="46"/>
      <c r="E42" s="46"/>
      <c r="F42" s="46"/>
      <c r="G42" s="150"/>
      <c r="H42" s="181"/>
      <c r="I42" s="181"/>
      <c r="J42" s="150">
        <f>3319.32-J43</f>
        <v>2358.92</v>
      </c>
      <c r="K42" s="150">
        <f>350*6</f>
        <v>2100</v>
      </c>
      <c r="L42" s="181"/>
      <c r="M42" s="150">
        <f t="shared" si="1"/>
        <v>4458.92</v>
      </c>
      <c r="O42" s="181">
        <f>5020-O43</f>
        <v>3232</v>
      </c>
    </row>
    <row r="43" spans="2:15" s="43" customFormat="1" ht="20.25" x14ac:dyDescent="0.2">
      <c r="B43" s="42"/>
      <c r="C43" s="46" t="s">
        <v>755</v>
      </c>
      <c r="D43" s="46"/>
      <c r="E43" s="46"/>
      <c r="F43" s="46"/>
      <c r="G43" s="150"/>
      <c r="H43" s="181"/>
      <c r="I43" s="181"/>
      <c r="J43" s="150">
        <f>149*5+215.4</f>
        <v>960.4</v>
      </c>
      <c r="K43" s="150">
        <f>149*6</f>
        <v>894</v>
      </c>
      <c r="L43" s="181"/>
      <c r="M43" s="150">
        <f t="shared" si="1"/>
        <v>1854.4</v>
      </c>
      <c r="O43" s="181">
        <f>149*12</f>
        <v>1788</v>
      </c>
    </row>
    <row r="44" spans="2:15" s="43" customFormat="1" ht="20.25" x14ac:dyDescent="0.2">
      <c r="B44" s="42"/>
      <c r="C44" s="46" t="s">
        <v>125</v>
      </c>
      <c r="D44" s="46"/>
      <c r="E44" s="46"/>
      <c r="F44" s="46"/>
      <c r="G44" s="150"/>
      <c r="H44" s="181"/>
      <c r="I44" s="181"/>
      <c r="J44" s="150">
        <f>140+673</f>
        <v>813</v>
      </c>
      <c r="K44" s="150">
        <v>0</v>
      </c>
      <c r="L44" s="181"/>
      <c r="M44" s="150">
        <f t="shared" si="1"/>
        <v>813</v>
      </c>
      <c r="O44" s="181">
        <v>1525</v>
      </c>
    </row>
    <row r="45" spans="2:15" s="43" customFormat="1" ht="20.25" x14ac:dyDescent="0.2">
      <c r="B45" s="42"/>
      <c r="C45" s="46" t="s">
        <v>126</v>
      </c>
      <c r="D45" s="46"/>
      <c r="E45" s="46"/>
      <c r="F45" s="46"/>
      <c r="G45" s="150">
        <v>10993.12</v>
      </c>
      <c r="H45" s="181">
        <v>4904.57</v>
      </c>
      <c r="I45" s="181"/>
      <c r="J45" s="150">
        <v>4125.41</v>
      </c>
      <c r="K45" s="150">
        <f>J45</f>
        <v>4125.41</v>
      </c>
      <c r="L45" s="181"/>
      <c r="M45" s="150">
        <f t="shared" si="1"/>
        <v>8250.82</v>
      </c>
      <c r="O45" s="181">
        <v>8600</v>
      </c>
    </row>
    <row r="46" spans="2:15" s="43" customFormat="1" ht="20.25" x14ac:dyDescent="0.2">
      <c r="B46" s="42"/>
      <c r="C46" s="46" t="s">
        <v>127</v>
      </c>
      <c r="D46" s="46"/>
      <c r="E46" s="46"/>
      <c r="F46" s="46"/>
      <c r="G46" s="150">
        <v>10250.949999999999</v>
      </c>
      <c r="H46" s="181">
        <v>3982.99</v>
      </c>
      <c r="I46" s="181"/>
      <c r="J46" s="150">
        <f>759.4+448.66</f>
        <v>1208.06</v>
      </c>
      <c r="K46" s="150">
        <v>1000</v>
      </c>
      <c r="L46" s="181"/>
      <c r="M46" s="150">
        <f t="shared" si="1"/>
        <v>2208.06</v>
      </c>
      <c r="O46" s="181">
        <v>2110</v>
      </c>
    </row>
    <row r="47" spans="2:15" s="43" customFormat="1" ht="20.25" x14ac:dyDescent="0.2">
      <c r="B47" s="42"/>
      <c r="C47" s="46" t="s">
        <v>48</v>
      </c>
      <c r="D47" s="46"/>
      <c r="E47" s="46"/>
      <c r="F47" s="46"/>
      <c r="G47" s="150">
        <v>4412.53</v>
      </c>
      <c r="H47" s="182">
        <v>5667</v>
      </c>
      <c r="I47" s="182"/>
      <c r="J47" s="150">
        <v>2955.81</v>
      </c>
      <c r="K47" s="150">
        <f>J47+900</f>
        <v>3855.81</v>
      </c>
      <c r="L47" s="182"/>
      <c r="M47" s="150">
        <f t="shared" si="1"/>
        <v>6811.62</v>
      </c>
      <c r="O47" s="181">
        <v>4061</v>
      </c>
    </row>
    <row r="48" spans="2:15" s="43" customFormat="1" ht="20.25" x14ac:dyDescent="0.2">
      <c r="B48" s="42"/>
      <c r="C48" s="46" t="s">
        <v>44</v>
      </c>
      <c r="D48" s="46"/>
      <c r="E48" s="46"/>
      <c r="F48" s="46"/>
      <c r="G48" s="150">
        <v>7901</v>
      </c>
      <c r="H48" s="181">
        <v>4149.6000000000004</v>
      </c>
      <c r="I48" s="181"/>
      <c r="J48" s="150">
        <v>220.65</v>
      </c>
      <c r="K48" s="150">
        <v>250</v>
      </c>
      <c r="L48" s="181"/>
      <c r="M48" s="150">
        <f t="shared" si="1"/>
        <v>470.65</v>
      </c>
      <c r="O48" s="181">
        <v>530</v>
      </c>
    </row>
    <row r="49" spans="2:15" s="43" customFormat="1" ht="20.25" hidden="1" x14ac:dyDescent="0.2">
      <c r="B49" s="42"/>
      <c r="C49" s="46" t="s">
        <v>128</v>
      </c>
      <c r="D49" s="46"/>
      <c r="E49" s="46"/>
      <c r="F49" s="46"/>
      <c r="G49" s="150"/>
      <c r="H49" s="181"/>
      <c r="I49" s="181"/>
      <c r="J49" s="150"/>
      <c r="K49" s="150"/>
      <c r="L49" s="181"/>
      <c r="M49" s="150">
        <f t="shared" si="1"/>
        <v>0</v>
      </c>
      <c r="O49" s="181"/>
    </row>
    <row r="50" spans="2:15" s="43" customFormat="1" ht="20.25" x14ac:dyDescent="0.2">
      <c r="B50" s="46"/>
      <c r="C50" s="46" t="s">
        <v>40</v>
      </c>
      <c r="D50" s="46"/>
      <c r="E50" s="46"/>
      <c r="F50" s="46"/>
      <c r="G50" s="150">
        <v>5428.37</v>
      </c>
      <c r="H50" s="181">
        <v>2024.52</v>
      </c>
      <c r="I50" s="181"/>
      <c r="J50" s="150">
        <v>254</v>
      </c>
      <c r="K50" s="150">
        <f>J50</f>
        <v>254</v>
      </c>
      <c r="L50" s="181"/>
      <c r="M50" s="150">
        <f t="shared" si="1"/>
        <v>508</v>
      </c>
      <c r="O50" s="181">
        <v>340</v>
      </c>
    </row>
    <row r="51" spans="2:15" s="43" customFormat="1" ht="20.25" x14ac:dyDescent="0.2">
      <c r="B51" s="46"/>
      <c r="C51" s="46" t="s">
        <v>70</v>
      </c>
      <c r="D51" s="46"/>
      <c r="E51" s="46"/>
      <c r="F51" s="46"/>
      <c r="G51" s="150"/>
      <c r="H51" s="181"/>
      <c r="I51" s="181"/>
      <c r="J51" s="150">
        <f>'August''25 State of Activities'!H55</f>
        <v>5002.47</v>
      </c>
      <c r="K51" s="150">
        <f>624.49*6</f>
        <v>3746.94</v>
      </c>
      <c r="L51" s="181"/>
      <c r="M51" s="150">
        <f t="shared" si="1"/>
        <v>8749.41</v>
      </c>
      <c r="O51" s="181">
        <v>5933</v>
      </c>
    </row>
    <row r="52" spans="2:15" s="43" customFormat="1" ht="20.25" x14ac:dyDescent="0.2">
      <c r="B52" s="46"/>
      <c r="C52" s="46" t="s">
        <v>129</v>
      </c>
      <c r="D52" s="46"/>
      <c r="E52" s="46"/>
      <c r="F52" s="46"/>
      <c r="G52" s="150">
        <v>83462.91</v>
      </c>
      <c r="H52" s="150">
        <v>18995.71</v>
      </c>
      <c r="I52" s="150"/>
      <c r="J52" s="152">
        <f>30.2+105</f>
        <v>135.19999999999999</v>
      </c>
      <c r="K52" s="152">
        <v>1000</v>
      </c>
      <c r="L52" s="150"/>
      <c r="M52" s="152">
        <f>J52+K52</f>
        <v>1135.2</v>
      </c>
      <c r="O52" s="337">
        <v>33</v>
      </c>
    </row>
    <row r="53" spans="2:15" s="43" customFormat="1" ht="21" thickBot="1" x14ac:dyDescent="0.25">
      <c r="B53" s="42"/>
      <c r="C53" s="42"/>
      <c r="D53" s="42" t="s">
        <v>68</v>
      </c>
      <c r="E53" s="42"/>
      <c r="F53" s="42"/>
      <c r="G53" s="157">
        <v>1078317.8599999999</v>
      </c>
      <c r="H53" s="157">
        <v>481701.87000000005</v>
      </c>
      <c r="I53" s="150"/>
      <c r="J53" s="313" t="e">
        <f>SUM(J32:J52)</f>
        <v>#REF!</v>
      </c>
      <c r="K53" s="313" t="e">
        <f>SUM(K32:K52)</f>
        <v>#REF!</v>
      </c>
      <c r="L53" s="150"/>
      <c r="M53" s="313" t="e">
        <f>SUM(M32:M52)</f>
        <v>#REF!</v>
      </c>
      <c r="O53" s="313" t="e">
        <f>SUM(O32:O52)</f>
        <v>#REF!</v>
      </c>
    </row>
    <row r="54" spans="2:15" s="43" customFormat="1" ht="21" thickBot="1" x14ac:dyDescent="0.25">
      <c r="B54" s="42"/>
      <c r="C54" s="42"/>
      <c r="D54" s="42" t="s">
        <v>130</v>
      </c>
      <c r="E54" s="42"/>
      <c r="F54" s="42"/>
      <c r="G54" s="157">
        <v>233082.39000000013</v>
      </c>
      <c r="H54" s="157">
        <v>82291.709999999905</v>
      </c>
      <c r="I54" s="150"/>
      <c r="J54" s="314" t="e">
        <f>J28-J53</f>
        <v>#REF!</v>
      </c>
      <c r="K54" s="314" t="e">
        <f>K28-K53</f>
        <v>#REF!</v>
      </c>
      <c r="L54" s="150"/>
      <c r="M54" s="563" t="e">
        <f>M28-M53</f>
        <v>#REF!</v>
      </c>
      <c r="O54" s="563" t="e">
        <f>O28-O53</f>
        <v>#REF!</v>
      </c>
    </row>
    <row r="55" spans="2:15" s="43" customFormat="1" ht="20.25" x14ac:dyDescent="0.2">
      <c r="B55" s="42"/>
      <c r="C55" s="42"/>
      <c r="D55" s="42"/>
      <c r="E55" s="42"/>
      <c r="F55" s="42"/>
      <c r="G55" s="150"/>
      <c r="H55" s="150"/>
      <c r="I55" s="150"/>
      <c r="J55" s="150"/>
      <c r="K55" s="150"/>
      <c r="L55" s="150"/>
      <c r="M55" s="150"/>
    </row>
    <row r="56" spans="2:15" s="40" customFormat="1" ht="26.25" x14ac:dyDescent="0.2">
      <c r="B56" s="175"/>
      <c r="C56" s="46" t="s">
        <v>737</v>
      </c>
      <c r="E56" s="46"/>
      <c r="F56" s="46"/>
      <c r="G56" s="177"/>
      <c r="H56" s="150"/>
      <c r="I56" s="150"/>
      <c r="J56" s="150">
        <f>-28362.53+J51</f>
        <v>-23360.059999999998</v>
      </c>
      <c r="K56" s="562">
        <f>(2917*-6)+K51</f>
        <v>-13755.06</v>
      </c>
      <c r="L56" s="150"/>
      <c r="M56" s="150">
        <f>J56+K56</f>
        <v>-37115.119999999995</v>
      </c>
      <c r="O56" s="181">
        <f>-21875</f>
        <v>-21875</v>
      </c>
    </row>
    <row r="57" spans="2:15" s="43" customFormat="1" ht="20.25" x14ac:dyDescent="0.2">
      <c r="B57" s="42"/>
      <c r="C57" s="46" t="s">
        <v>132</v>
      </c>
      <c r="E57" s="42"/>
      <c r="G57" s="150"/>
      <c r="H57" s="150"/>
      <c r="I57" s="150"/>
      <c r="J57" s="150">
        <f>J40</f>
        <v>13648.5</v>
      </c>
      <c r="K57" s="150">
        <f>K40</f>
        <v>13648.5</v>
      </c>
      <c r="L57" s="150"/>
      <c r="M57" s="150">
        <f>M40</f>
        <v>27297</v>
      </c>
      <c r="O57" s="181">
        <f>O40</f>
        <v>19430</v>
      </c>
    </row>
    <row r="58" spans="2:15" s="43" customFormat="1" ht="24" thickBot="1" x14ac:dyDescent="0.25">
      <c r="B58" s="178"/>
      <c r="C58" s="42"/>
      <c r="D58" s="817" t="s">
        <v>133</v>
      </c>
      <c r="E58" s="817"/>
      <c r="F58" s="817"/>
      <c r="G58" s="150"/>
      <c r="H58" s="150"/>
      <c r="I58" s="150"/>
      <c r="J58" s="315" t="e">
        <f>J54+J56+J57</f>
        <v>#REF!</v>
      </c>
      <c r="K58" s="315" t="e">
        <f>K54+K56+K57</f>
        <v>#REF!</v>
      </c>
      <c r="L58" s="159"/>
      <c r="M58" s="315" t="e">
        <f>M54+M56+M57</f>
        <v>#REF!</v>
      </c>
      <c r="N58" s="261"/>
      <c r="O58" s="315" t="e">
        <f>O54+O56+O57</f>
        <v>#REF!</v>
      </c>
    </row>
    <row r="59" spans="2:15" s="43" customFormat="1" ht="42" customHeight="1" thickTop="1" x14ac:dyDescent="0.2">
      <c r="B59" s="42"/>
      <c r="C59" s="42"/>
      <c r="D59" s="42"/>
      <c r="E59" s="42"/>
      <c r="F59" s="42"/>
      <c r="G59" s="150"/>
      <c r="H59" s="150"/>
      <c r="I59" s="150"/>
      <c r="J59" s="150"/>
      <c r="K59" s="150"/>
      <c r="L59" s="150"/>
      <c r="M59" s="150"/>
    </row>
    <row r="60" spans="2:15" s="43" customFormat="1" ht="20.25" x14ac:dyDescent="0.2">
      <c r="B60" s="46"/>
      <c r="C60" s="46" t="s">
        <v>770</v>
      </c>
      <c r="D60" s="46"/>
      <c r="E60" s="46"/>
      <c r="F60" s="46"/>
      <c r="G60" s="150"/>
      <c r="H60" s="150"/>
      <c r="I60" s="150"/>
      <c r="J60" s="150"/>
      <c r="K60" s="150"/>
      <c r="L60" s="150"/>
      <c r="M60" s="150"/>
    </row>
    <row r="61" spans="2:15" s="43" customFormat="1" ht="20.25" x14ac:dyDescent="0.3">
      <c r="B61" s="46"/>
      <c r="C61" s="524" t="s">
        <v>83</v>
      </c>
      <c r="D61" s="33"/>
      <c r="E61" s="33"/>
      <c r="F61" s="489"/>
      <c r="G61" s="183"/>
      <c r="H61" s="183"/>
      <c r="I61" s="523"/>
      <c r="J61" s="150"/>
      <c r="K61" s="150"/>
      <c r="L61" s="150"/>
      <c r="M61" s="150"/>
    </row>
    <row r="62" spans="2:15" s="43" customFormat="1" ht="20.25" customHeight="1" x14ac:dyDescent="0.2">
      <c r="B62" s="46"/>
      <c r="C62" s="815" t="s">
        <v>84</v>
      </c>
      <c r="D62" s="815"/>
      <c r="E62" s="815"/>
      <c r="F62" s="815"/>
      <c r="G62" s="815"/>
      <c r="H62" s="815"/>
      <c r="I62" s="815"/>
      <c r="J62" s="815"/>
      <c r="K62" s="815"/>
      <c r="L62" s="815"/>
      <c r="M62" s="815"/>
      <c r="N62" s="815"/>
      <c r="O62" s="815"/>
    </row>
    <row r="63" spans="2:15" s="43" customFormat="1" ht="29.25" customHeight="1" x14ac:dyDescent="0.2">
      <c r="B63" s="46"/>
      <c r="C63" s="816" t="s">
        <v>85</v>
      </c>
      <c r="D63" s="816"/>
      <c r="E63" s="816"/>
      <c r="F63" s="816"/>
      <c r="G63" s="816"/>
      <c r="H63" s="816"/>
      <c r="I63" s="816"/>
      <c r="J63" s="816"/>
      <c r="K63" s="816"/>
      <c r="L63" s="816"/>
      <c r="M63" s="816"/>
      <c r="N63" s="816"/>
      <c r="O63" s="816"/>
    </row>
    <row r="64" spans="2:15" s="43" customFormat="1" ht="20.25" x14ac:dyDescent="0.25">
      <c r="B64" s="42"/>
      <c r="C64" s="361" t="s">
        <v>86</v>
      </c>
      <c r="D64" s="33"/>
      <c r="E64" s="33"/>
      <c r="F64" s="489"/>
      <c r="G64" s="523"/>
      <c r="H64" s="523"/>
      <c r="I64" s="523"/>
      <c r="J64" s="153"/>
      <c r="K64" s="153"/>
      <c r="L64" s="153"/>
      <c r="M64" s="153"/>
    </row>
    <row r="65" spans="3:15" s="43" customFormat="1" ht="20.25" x14ac:dyDescent="0.25">
      <c r="C65" s="361" t="s">
        <v>87</v>
      </c>
      <c r="D65" s="33"/>
      <c r="E65" s="33"/>
      <c r="F65" s="489"/>
      <c r="G65" s="523"/>
      <c r="H65" s="523"/>
      <c r="I65" s="523"/>
      <c r="J65" s="153"/>
      <c r="K65" s="153"/>
      <c r="L65" s="153"/>
      <c r="M65" s="153"/>
    </row>
    <row r="66" spans="3:15" s="43" customFormat="1" ht="23.25" customHeight="1" x14ac:dyDescent="0.2">
      <c r="C66" s="815" t="s">
        <v>88</v>
      </c>
      <c r="D66" s="815"/>
      <c r="E66" s="815"/>
      <c r="F66" s="815"/>
      <c r="G66" s="815"/>
      <c r="H66" s="815"/>
      <c r="I66" s="815"/>
      <c r="J66" s="815"/>
      <c r="K66" s="815"/>
      <c r="L66" s="815"/>
      <c r="M66" s="815"/>
      <c r="N66" s="815"/>
      <c r="O66" s="815"/>
    </row>
    <row r="67" spans="3:15" s="43" customFormat="1" ht="20.25" x14ac:dyDescent="0.25">
      <c r="C67" s="184" t="s">
        <v>89</v>
      </c>
      <c r="D67" s="33"/>
      <c r="E67" s="33"/>
      <c r="F67" s="489"/>
      <c r="G67" s="523"/>
      <c r="H67" s="523"/>
      <c r="I67" s="523"/>
      <c r="J67" s="150"/>
      <c r="K67" s="150"/>
      <c r="L67" s="150"/>
      <c r="M67" s="150"/>
    </row>
    <row r="68" spans="3:15" s="43" customFormat="1" ht="20.25" x14ac:dyDescent="0.25">
      <c r="C68" s="184">
        <v>1</v>
      </c>
      <c r="D68" s="184" t="s">
        <v>90</v>
      </c>
      <c r="E68" s="33"/>
      <c r="F68" s="489"/>
      <c r="G68" s="523"/>
      <c r="H68" s="523"/>
      <c r="I68" s="523"/>
      <c r="J68" s="150"/>
      <c r="K68" s="150"/>
      <c r="L68" s="150"/>
      <c r="M68" s="150"/>
    </row>
    <row r="69" spans="3:15" s="43" customFormat="1" ht="20.25" x14ac:dyDescent="0.25">
      <c r="C69" s="184">
        <v>2</v>
      </c>
      <c r="D69" s="184" t="s">
        <v>91</v>
      </c>
      <c r="E69" s="33"/>
      <c r="F69" s="489"/>
      <c r="G69"/>
      <c r="H69"/>
      <c r="I69"/>
      <c r="J69" s="150"/>
      <c r="K69" s="150"/>
      <c r="L69" s="150"/>
      <c r="M69" s="150"/>
    </row>
    <row r="70" spans="3:15" s="43" customFormat="1" ht="20.25" x14ac:dyDescent="0.25">
      <c r="C70" s="184">
        <v>3</v>
      </c>
      <c r="D70" s="184" t="s">
        <v>92</v>
      </c>
      <c r="E70" s="33"/>
      <c r="F70" s="489"/>
      <c r="G70"/>
      <c r="H70"/>
      <c r="I70"/>
      <c r="J70" s="153"/>
      <c r="K70" s="153"/>
      <c r="L70" s="153"/>
      <c r="M70" s="153"/>
    </row>
    <row r="71" spans="3:15" s="43" customFormat="1" ht="20.25" x14ac:dyDescent="0.25">
      <c r="C71" s="184">
        <v>4</v>
      </c>
      <c r="D71" s="184" t="s">
        <v>93</v>
      </c>
      <c r="E71" s="33"/>
      <c r="F71" s="489"/>
      <c r="G71"/>
      <c r="H71"/>
      <c r="I71"/>
      <c r="J71" s="150"/>
      <c r="K71" s="150"/>
      <c r="L71" s="150"/>
      <c r="M71" s="150"/>
    </row>
    <row r="72" spans="3:15" s="50" customFormat="1" ht="26.25" x14ac:dyDescent="0.25">
      <c r="C72" s="184" t="s">
        <v>94</v>
      </c>
      <c r="D72" s="184"/>
      <c r="E72" s="33"/>
      <c r="F72" s="489"/>
      <c r="G72"/>
      <c r="H72"/>
      <c r="I72"/>
      <c r="J72" s="153"/>
      <c r="K72" s="153"/>
      <c r="L72" s="153"/>
      <c r="M72" s="153"/>
    </row>
    <row r="73" spans="3:15" ht="20.25" x14ac:dyDescent="0.3">
      <c r="C73" s="184" t="s">
        <v>95</v>
      </c>
      <c r="D73" s="184"/>
      <c r="F73" s="489"/>
      <c r="G73"/>
      <c r="J73" s="183"/>
      <c r="K73" s="183"/>
      <c r="L73" s="183"/>
      <c r="M73" s="183"/>
    </row>
    <row r="74" spans="3:15" ht="20.25" x14ac:dyDescent="0.3">
      <c r="C74" s="184">
        <v>1</v>
      </c>
      <c r="D74" s="184" t="s">
        <v>96</v>
      </c>
      <c r="F74" s="73"/>
      <c r="G74"/>
      <c r="J74" s="183"/>
      <c r="K74" s="183"/>
      <c r="L74" s="183"/>
      <c r="M74" s="183"/>
    </row>
    <row r="75" spans="3:15" ht="20.25" x14ac:dyDescent="0.3">
      <c r="C75" s="184">
        <v>2</v>
      </c>
      <c r="D75" s="184" t="s">
        <v>97</v>
      </c>
      <c r="F75" s="73"/>
      <c r="G75"/>
      <c r="J75" s="183"/>
      <c r="K75" s="183"/>
      <c r="L75" s="183"/>
      <c r="M75" s="183"/>
    </row>
    <row r="76" spans="3:15" ht="20.25" x14ac:dyDescent="0.3">
      <c r="C76" s="184" t="s">
        <v>94</v>
      </c>
      <c r="D76" s="184"/>
      <c r="G76"/>
      <c r="J76" s="180"/>
      <c r="K76" s="180"/>
      <c r="L76" s="180"/>
      <c r="M76" s="180"/>
    </row>
    <row r="77" spans="3:15" x14ac:dyDescent="0.2">
      <c r="C77" s="184" t="s">
        <v>98</v>
      </c>
      <c r="D77" s="184"/>
      <c r="G77"/>
    </row>
    <row r="78" spans="3:15" x14ac:dyDescent="0.2">
      <c r="C78" s="184" t="s">
        <v>99</v>
      </c>
      <c r="D78" s="184"/>
      <c r="G78"/>
    </row>
  </sheetData>
  <mergeCells count="13">
    <mergeCell ref="C62:O62"/>
    <mergeCell ref="C63:O63"/>
    <mergeCell ref="C66:O66"/>
    <mergeCell ref="J6:M6"/>
    <mergeCell ref="C23:F23"/>
    <mergeCell ref="D32:F32"/>
    <mergeCell ref="D33:F33"/>
    <mergeCell ref="D34:F34"/>
    <mergeCell ref="D36:F36"/>
    <mergeCell ref="D37:F37"/>
    <mergeCell ref="D38:F38"/>
    <mergeCell ref="D39:F39"/>
    <mergeCell ref="D58:F58"/>
  </mergeCell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16"/>
  <sheetViews>
    <sheetView zoomScale="75" zoomScaleNormal="75" workbookViewId="0">
      <selection activeCell="S11" sqref="S11"/>
    </sheetView>
  </sheetViews>
  <sheetFormatPr defaultRowHeight="14.25" x14ac:dyDescent="0.2"/>
  <cols>
    <col min="1" max="1" width="2.875" customWidth="1"/>
    <col min="2" max="2" width="8.125" customWidth="1"/>
    <col min="3" max="3" width="8.75" customWidth="1"/>
    <col min="4" max="4" width="5.75" customWidth="1"/>
    <col min="5" max="5" width="2.875" customWidth="1"/>
    <col min="6" max="6" width="51.375" bestFit="1" customWidth="1"/>
    <col min="7" max="7" width="24.25" customWidth="1"/>
    <col min="8" max="10" width="24.125" customWidth="1"/>
    <col min="11" max="11" width="22.875" bestFit="1" customWidth="1"/>
  </cols>
  <sheetData>
    <row r="1" spans="1:11" ht="26.25" x14ac:dyDescent="0.4">
      <c r="A1" s="34" t="s">
        <v>0</v>
      </c>
      <c r="B1" s="35"/>
      <c r="C1" s="36"/>
      <c r="D1" s="36"/>
      <c r="E1" s="36"/>
      <c r="F1" s="35"/>
      <c r="G1" s="35"/>
      <c r="H1" s="35"/>
      <c r="I1" s="35"/>
      <c r="J1" s="35"/>
      <c r="K1" s="35"/>
    </row>
    <row r="2" spans="1:11" ht="26.25" x14ac:dyDescent="0.4">
      <c r="A2" s="34" t="s">
        <v>100</v>
      </c>
      <c r="B2" s="35"/>
      <c r="C2" s="36"/>
      <c r="D2" s="36"/>
      <c r="E2" s="36"/>
      <c r="F2" s="35"/>
      <c r="G2" s="35"/>
      <c r="H2" s="35"/>
      <c r="I2" s="35"/>
      <c r="J2" s="35"/>
      <c r="K2" s="35"/>
    </row>
    <row r="3" spans="1:11" ht="26.25" x14ac:dyDescent="0.4">
      <c r="A3" s="34" t="s">
        <v>101</v>
      </c>
      <c r="B3" s="35"/>
      <c r="C3" s="36"/>
      <c r="D3" s="36"/>
      <c r="E3" s="36"/>
      <c r="F3" s="35"/>
      <c r="G3" s="35"/>
      <c r="H3" s="35"/>
      <c r="I3" s="35"/>
      <c r="J3" s="35"/>
      <c r="K3" s="35"/>
    </row>
    <row r="4" spans="1:11" ht="21" thickBot="1" x14ac:dyDescent="0.25">
      <c r="A4" s="37"/>
      <c r="B4" s="37"/>
      <c r="C4" s="37"/>
      <c r="D4" s="37"/>
      <c r="E4" s="37"/>
      <c r="F4" s="37"/>
      <c r="G4" s="37"/>
      <c r="H4" s="37"/>
      <c r="I4" s="37"/>
      <c r="J4" s="38"/>
      <c r="K4" s="221"/>
    </row>
    <row r="5" spans="1:11" ht="27.75" thickTop="1" thickBot="1" x14ac:dyDescent="0.25">
      <c r="A5" s="39" t="s">
        <v>3</v>
      </c>
      <c r="B5" s="39"/>
      <c r="C5" s="39"/>
      <c r="D5" s="39"/>
      <c r="E5" s="39"/>
      <c r="F5" s="39"/>
      <c r="G5" s="39"/>
      <c r="H5" s="39"/>
      <c r="I5" s="39"/>
      <c r="J5" s="267"/>
      <c r="K5" s="529"/>
    </row>
    <row r="6" spans="1:11" ht="21" thickTop="1" x14ac:dyDescent="0.2">
      <c r="A6" s="42"/>
      <c r="B6" s="42"/>
      <c r="C6" s="42"/>
      <c r="D6" s="42"/>
      <c r="E6" s="42"/>
      <c r="F6" s="42"/>
      <c r="G6" s="42"/>
      <c r="H6" s="42"/>
      <c r="I6" s="42"/>
      <c r="J6" s="43"/>
      <c r="K6" s="43"/>
    </row>
    <row r="7" spans="1:11" ht="21" thickBot="1" x14ac:dyDescent="0.35">
      <c r="A7" s="44"/>
      <c r="B7" s="97" t="s">
        <v>7</v>
      </c>
      <c r="C7" s="97"/>
      <c r="D7" s="97"/>
      <c r="E7" s="97"/>
      <c r="F7" s="97"/>
      <c r="G7" s="443">
        <v>43465</v>
      </c>
      <c r="H7" s="443">
        <v>43830</v>
      </c>
      <c r="I7" s="443">
        <v>44196</v>
      </c>
      <c r="J7" s="443">
        <v>44561</v>
      </c>
      <c r="K7" s="443">
        <v>44926</v>
      </c>
    </row>
    <row r="8" spans="1:11" ht="20.25" x14ac:dyDescent="0.2">
      <c r="A8" s="42"/>
      <c r="B8" s="42"/>
      <c r="C8" s="46" t="s">
        <v>14</v>
      </c>
      <c r="D8" s="46"/>
      <c r="E8" s="46"/>
      <c r="F8" s="42"/>
      <c r="G8" s="159">
        <f>153461+3123</f>
        <v>156584</v>
      </c>
      <c r="H8" s="159">
        <v>158721</v>
      </c>
      <c r="I8" s="159">
        <f>68070.06</f>
        <v>68070.06</v>
      </c>
      <c r="J8" s="159">
        <v>85646.89</v>
      </c>
      <c r="K8" s="159">
        <v>84478</v>
      </c>
    </row>
    <row r="9" spans="1:11" ht="20.25" x14ac:dyDescent="0.2">
      <c r="A9" s="42"/>
      <c r="B9" s="42"/>
      <c r="C9" s="46" t="s">
        <v>102</v>
      </c>
      <c r="D9" s="46"/>
      <c r="E9" s="46"/>
      <c r="F9" s="42"/>
      <c r="G9" s="150">
        <v>20332</v>
      </c>
      <c r="H9" s="150">
        <v>12278.42</v>
      </c>
      <c r="I9" s="150">
        <v>16169.1</v>
      </c>
      <c r="J9" s="150">
        <v>34505.879999999997</v>
      </c>
      <c r="K9" s="150">
        <v>13806</v>
      </c>
    </row>
    <row r="10" spans="1:11" ht="20.25" x14ac:dyDescent="0.2">
      <c r="A10" s="42"/>
      <c r="B10" s="42"/>
      <c r="C10" s="46" t="s">
        <v>103</v>
      </c>
      <c r="D10" s="46"/>
      <c r="E10" s="46"/>
      <c r="F10" s="42"/>
      <c r="G10" s="150"/>
      <c r="H10" s="150">
        <v>10616</v>
      </c>
      <c r="I10" s="150">
        <v>3260</v>
      </c>
      <c r="J10" s="150">
        <v>0</v>
      </c>
      <c r="K10" s="150">
        <v>32978</v>
      </c>
    </row>
    <row r="11" spans="1:11" ht="20.25" x14ac:dyDescent="0.2">
      <c r="A11" s="42"/>
      <c r="B11" s="42"/>
      <c r="C11" s="46" t="s">
        <v>16</v>
      </c>
      <c r="D11" s="46"/>
      <c r="E11" s="46"/>
      <c r="F11" s="42"/>
      <c r="G11" s="150"/>
      <c r="H11" s="150"/>
      <c r="I11" s="150"/>
      <c r="J11" s="150"/>
      <c r="K11" s="150"/>
    </row>
    <row r="12" spans="1:11" ht="20.25" x14ac:dyDescent="0.2">
      <c r="A12" s="42"/>
      <c r="B12" s="42"/>
      <c r="C12" s="43"/>
      <c r="D12" s="46" t="s">
        <v>104</v>
      </c>
      <c r="E12" s="46"/>
      <c r="F12" s="42"/>
      <c r="G12" s="150">
        <v>42500</v>
      </c>
      <c r="H12" s="150">
        <v>44499.96</v>
      </c>
      <c r="I12" s="150">
        <f>3750*12</f>
        <v>45000</v>
      </c>
      <c r="J12" s="150">
        <v>45500</v>
      </c>
      <c r="K12" s="150">
        <v>46000</v>
      </c>
    </row>
    <row r="13" spans="1:11" ht="20.25" x14ac:dyDescent="0.2">
      <c r="A13" s="42"/>
      <c r="B13" s="42"/>
      <c r="C13" s="43"/>
      <c r="D13" s="46" t="s">
        <v>18</v>
      </c>
      <c r="E13" s="46"/>
      <c r="F13" s="42"/>
      <c r="G13" s="150">
        <v>9000</v>
      </c>
      <c r="H13" s="150">
        <v>13000</v>
      </c>
      <c r="I13" s="150">
        <v>18000</v>
      </c>
      <c r="J13" s="150">
        <v>18000</v>
      </c>
      <c r="K13" s="150">
        <v>18000</v>
      </c>
    </row>
    <row r="14" spans="1:11" ht="20.25" x14ac:dyDescent="0.2">
      <c r="A14" s="42"/>
      <c r="B14" s="42"/>
      <c r="C14" s="46" t="s">
        <v>105</v>
      </c>
      <c r="D14" s="46"/>
      <c r="E14" s="46"/>
      <c r="F14" s="42"/>
      <c r="G14" s="150">
        <v>12796</v>
      </c>
      <c r="H14" s="150">
        <v>13071.46</v>
      </c>
      <c r="I14" s="150">
        <v>12695.06</v>
      </c>
      <c r="J14" s="150">
        <v>17445.740000000002</v>
      </c>
      <c r="K14" s="150">
        <v>17485</v>
      </c>
    </row>
    <row r="15" spans="1:11" ht="20.25" x14ac:dyDescent="0.2">
      <c r="A15" s="42"/>
      <c r="B15" s="42"/>
      <c r="C15" s="46" t="s">
        <v>106</v>
      </c>
      <c r="D15" s="46"/>
      <c r="E15" s="46"/>
      <c r="F15" s="42"/>
      <c r="G15" s="150">
        <f>25000</f>
        <v>25000</v>
      </c>
      <c r="H15" s="150">
        <v>71886</v>
      </c>
      <c r="I15" s="150">
        <v>77911.459999999992</v>
      </c>
      <c r="J15" s="150">
        <v>80378.48</v>
      </c>
      <c r="K15" s="150">
        <f>27500+3340</f>
        <v>30840</v>
      </c>
    </row>
    <row r="16" spans="1:11" ht="20.25" x14ac:dyDescent="0.2">
      <c r="A16" s="42"/>
      <c r="B16" s="42"/>
      <c r="C16" s="46" t="s">
        <v>107</v>
      </c>
      <c r="D16" s="46"/>
      <c r="E16" s="46"/>
      <c r="F16" s="42"/>
      <c r="G16" s="150">
        <f>659</f>
        <v>659</v>
      </c>
      <c r="H16" s="150">
        <v>7946</v>
      </c>
      <c r="I16" s="150">
        <v>255.74</v>
      </c>
      <c r="J16" s="150">
        <v>3312.47</v>
      </c>
      <c r="K16" s="150"/>
    </row>
    <row r="17" spans="2:11" ht="21" thickBot="1" x14ac:dyDescent="0.25">
      <c r="B17" s="42"/>
      <c r="C17" s="46" t="s">
        <v>108</v>
      </c>
      <c r="D17" s="46"/>
      <c r="E17" s="46"/>
      <c r="F17" s="42"/>
      <c r="G17" s="157">
        <v>9315</v>
      </c>
      <c r="H17" s="157">
        <v>9315</v>
      </c>
      <c r="I17" s="157">
        <v>9315</v>
      </c>
      <c r="J17" s="157">
        <v>10548</v>
      </c>
      <c r="K17" s="157">
        <v>10548</v>
      </c>
    </row>
    <row r="18" spans="2:11" ht="20.25" x14ac:dyDescent="0.2">
      <c r="B18" s="42"/>
      <c r="C18" s="46"/>
      <c r="D18" s="42" t="s">
        <v>33</v>
      </c>
      <c r="E18" s="46"/>
      <c r="F18" s="42"/>
      <c r="G18" s="150">
        <f>SUM(G8:G17)</f>
        <v>276186</v>
      </c>
      <c r="H18" s="150">
        <f>SUM(H8:H17)</f>
        <v>341333.83999999997</v>
      </c>
      <c r="I18" s="150">
        <f>SUM(I8:I17)</f>
        <v>250676.41999999998</v>
      </c>
      <c r="J18" s="150">
        <f>SUM(J8:J17)</f>
        <v>295337.45999999996</v>
      </c>
      <c r="K18" s="150">
        <f>SUM(K8:K17)</f>
        <v>254135</v>
      </c>
    </row>
    <row r="19" spans="2:11" ht="20.25" x14ac:dyDescent="0.2">
      <c r="B19" s="42"/>
      <c r="C19" s="42" t="s">
        <v>109</v>
      </c>
      <c r="D19" s="46"/>
      <c r="E19" s="46"/>
      <c r="F19" s="42"/>
      <c r="G19" s="150">
        <v>19000</v>
      </c>
      <c r="H19" s="150">
        <v>19000</v>
      </c>
      <c r="I19" s="150">
        <v>19000</v>
      </c>
      <c r="J19" s="150">
        <v>18500</v>
      </c>
      <c r="K19" s="150">
        <f>13333/8*12</f>
        <v>19999.5</v>
      </c>
    </row>
    <row r="20" spans="2:11" ht="21" thickBot="1" x14ac:dyDescent="0.25">
      <c r="B20" s="42"/>
      <c r="C20" s="42" t="s">
        <v>110</v>
      </c>
      <c r="D20" s="46"/>
      <c r="E20" s="46"/>
      <c r="F20" s="42"/>
      <c r="G20" s="157">
        <v>37641</v>
      </c>
      <c r="H20" s="157">
        <v>37834</v>
      </c>
      <c r="I20" s="157">
        <v>34669.31</v>
      </c>
      <c r="J20" s="157">
        <v>26400.720000000001</v>
      </c>
      <c r="K20" s="157">
        <v>43041</v>
      </c>
    </row>
    <row r="21" spans="2:11" ht="20.25" x14ac:dyDescent="0.2">
      <c r="B21" s="42"/>
      <c r="C21" s="46"/>
      <c r="D21" s="42" t="s">
        <v>111</v>
      </c>
      <c r="E21" s="46"/>
      <c r="F21" s="42"/>
      <c r="G21" s="150">
        <f>SUM(G18:G20)</f>
        <v>332827</v>
      </c>
      <c r="H21" s="150">
        <f>SUM(H18:H20)</f>
        <v>398167.83999999997</v>
      </c>
      <c r="I21" s="150">
        <f>SUM(I18:I20)</f>
        <v>304345.73</v>
      </c>
      <c r="J21" s="150">
        <f>SUM(J18:J20)</f>
        <v>340238.17999999993</v>
      </c>
      <c r="K21" s="150">
        <f>SUM(K18:K20)</f>
        <v>317175.5</v>
      </c>
    </row>
    <row r="22" spans="2:11" ht="20.25" x14ac:dyDescent="0.2">
      <c r="B22" s="42"/>
      <c r="C22" s="46"/>
      <c r="D22" s="42"/>
      <c r="E22" s="46"/>
      <c r="F22" s="42" t="s">
        <v>112</v>
      </c>
      <c r="G22" s="150"/>
      <c r="H22" s="150">
        <v>-46886</v>
      </c>
      <c r="I22" s="150"/>
      <c r="J22" s="150"/>
      <c r="K22" s="150"/>
    </row>
    <row r="23" spans="2:11" ht="20.25" x14ac:dyDescent="0.2">
      <c r="B23" s="42"/>
      <c r="C23" s="46"/>
      <c r="D23" s="42" t="s">
        <v>113</v>
      </c>
      <c r="E23" s="46"/>
      <c r="F23" s="42"/>
      <c r="G23" s="150"/>
      <c r="H23" s="150">
        <f>SUM(H21:H22)</f>
        <v>351281.83999999997</v>
      </c>
      <c r="I23" s="150"/>
      <c r="J23" s="150"/>
      <c r="K23" s="150"/>
    </row>
    <row r="24" spans="2:11" ht="20.25" x14ac:dyDescent="0.2">
      <c r="B24" s="42"/>
      <c r="C24" s="46"/>
      <c r="D24" s="42"/>
      <c r="E24" s="46"/>
      <c r="F24" s="42"/>
      <c r="G24" s="42"/>
      <c r="H24" s="42"/>
      <c r="I24" s="42"/>
      <c r="J24" s="400"/>
      <c r="K24" s="400"/>
    </row>
    <row r="25" spans="2:11" ht="21" thickBot="1" x14ac:dyDescent="0.25">
      <c r="B25" s="54" t="s">
        <v>34</v>
      </c>
      <c r="C25" s="54"/>
      <c r="D25" s="54"/>
      <c r="E25" s="54"/>
      <c r="F25" s="54"/>
      <c r="G25" s="42"/>
      <c r="H25" s="42"/>
      <c r="I25" s="42"/>
      <c r="J25" s="43"/>
      <c r="K25" s="43"/>
    </row>
    <row r="26" spans="2:11" ht="20.25" x14ac:dyDescent="0.2">
      <c r="B26" s="42"/>
      <c r="C26" s="46" t="s">
        <v>114</v>
      </c>
      <c r="D26" s="46"/>
      <c r="E26" s="46"/>
      <c r="F26" s="46"/>
      <c r="G26" s="46"/>
      <c r="H26" s="46"/>
      <c r="I26" s="46"/>
      <c r="J26" s="181"/>
      <c r="K26" s="181"/>
    </row>
    <row r="27" spans="2:11" ht="20.25" x14ac:dyDescent="0.2">
      <c r="B27" s="42"/>
      <c r="C27" s="46"/>
      <c r="D27" s="814" t="s">
        <v>115</v>
      </c>
      <c r="E27" s="814"/>
      <c r="F27" s="814"/>
      <c r="G27" s="150">
        <v>146508</v>
      </c>
      <c r="H27" s="150">
        <v>162253.75</v>
      </c>
      <c r="I27" s="150">
        <v>133830.65</v>
      </c>
      <c r="J27" s="150">
        <v>155035.70000000001</v>
      </c>
      <c r="K27" s="150">
        <v>205058</v>
      </c>
    </row>
    <row r="28" spans="2:11" ht="20.25" x14ac:dyDescent="0.2">
      <c r="B28" s="42"/>
      <c r="C28" s="46"/>
      <c r="D28" s="814" t="s">
        <v>117</v>
      </c>
      <c r="E28" s="814"/>
      <c r="F28" s="814"/>
      <c r="G28" s="150">
        <v>59928</v>
      </c>
      <c r="H28" s="150">
        <f>37966.12+23862.63+605.03+106.59</f>
        <v>62540.369999999995</v>
      </c>
      <c r="I28" s="150">
        <f>44061.17+21220.39</f>
        <v>65281.56</v>
      </c>
      <c r="J28" s="150">
        <f>43631.85+27917.65</f>
        <v>71549.5</v>
      </c>
      <c r="K28" s="150">
        <v>78236</v>
      </c>
    </row>
    <row r="29" spans="2:11" ht="20.25" x14ac:dyDescent="0.2">
      <c r="B29" s="42"/>
      <c r="C29" s="46"/>
      <c r="D29" s="814" t="s">
        <v>36</v>
      </c>
      <c r="E29" s="814"/>
      <c r="F29" s="814"/>
      <c r="G29" s="150">
        <v>39636</v>
      </c>
      <c r="H29" s="150">
        <v>42279.58</v>
      </c>
      <c r="I29" s="150">
        <v>36601</v>
      </c>
      <c r="J29" s="150">
        <f>J27*0.213+J28*0.14</f>
        <v>43039.534100000004</v>
      </c>
      <c r="K29" s="150">
        <f>K27*0.213+K28*0.14</f>
        <v>54630.394</v>
      </c>
    </row>
    <row r="30" spans="2:11" ht="20.25" x14ac:dyDescent="0.2">
      <c r="B30" s="42"/>
      <c r="C30" s="46" t="s">
        <v>118</v>
      </c>
      <c r="D30" s="46"/>
      <c r="E30" s="46"/>
      <c r="F30" s="46"/>
      <c r="G30" s="493"/>
      <c r="H30" s="493"/>
      <c r="I30" s="493"/>
      <c r="J30" s="493"/>
      <c r="K30" s="493"/>
    </row>
    <row r="31" spans="2:11" ht="20.25" x14ac:dyDescent="0.2">
      <c r="B31" s="42"/>
      <c r="C31" s="46"/>
      <c r="D31" s="814" t="s">
        <v>119</v>
      </c>
      <c r="E31" s="814"/>
      <c r="F31" s="814"/>
      <c r="G31" s="150">
        <v>27184</v>
      </c>
      <c r="H31" s="150">
        <v>25472.83</v>
      </c>
      <c r="I31" s="150">
        <v>15135.29</v>
      </c>
      <c r="J31" s="150">
        <v>25112.19</v>
      </c>
      <c r="K31" s="150">
        <v>37937</v>
      </c>
    </row>
    <row r="32" spans="2:11" ht="20.25" x14ac:dyDescent="0.2">
      <c r="B32" s="42"/>
      <c r="C32" s="46"/>
      <c r="D32" s="814" t="s">
        <v>120</v>
      </c>
      <c r="E32" s="814"/>
      <c r="F32" s="814"/>
      <c r="G32" s="150">
        <v>15511</v>
      </c>
      <c r="H32" s="150">
        <v>17989.87</v>
      </c>
      <c r="I32" s="150">
        <v>22636.98</v>
      </c>
      <c r="J32" s="150">
        <v>23957.25</v>
      </c>
      <c r="K32" s="150">
        <v>25355</v>
      </c>
    </row>
    <row r="33" spans="2:11" ht="20.25" x14ac:dyDescent="0.2">
      <c r="B33" s="42"/>
      <c r="C33" s="46"/>
      <c r="D33" s="814" t="s">
        <v>121</v>
      </c>
      <c r="E33" s="814"/>
      <c r="F33" s="814"/>
      <c r="G33" s="150">
        <v>12450</v>
      </c>
      <c r="H33" s="150">
        <v>16090.9</v>
      </c>
      <c r="I33" s="150">
        <v>11030.88</v>
      </c>
      <c r="J33" s="150">
        <v>19504.66</v>
      </c>
      <c r="K33" s="150">
        <v>10952</v>
      </c>
    </row>
    <row r="34" spans="2:11" ht="20.25" x14ac:dyDescent="0.2">
      <c r="B34" s="42"/>
      <c r="C34" s="46"/>
      <c r="D34" s="814" t="s">
        <v>122</v>
      </c>
      <c r="E34" s="814"/>
      <c r="F34" s="814"/>
      <c r="G34" s="150">
        <v>377</v>
      </c>
      <c r="H34" s="150">
        <v>1427.75</v>
      </c>
      <c r="I34" s="150">
        <v>397</v>
      </c>
      <c r="J34" s="150">
        <v>663</v>
      </c>
      <c r="K34" s="150">
        <v>744</v>
      </c>
    </row>
    <row r="35" spans="2:11" ht="20.25" x14ac:dyDescent="0.2">
      <c r="B35" s="42"/>
      <c r="C35" s="46" t="s">
        <v>123</v>
      </c>
      <c r="D35" s="46"/>
      <c r="E35" s="46"/>
      <c r="F35" s="46"/>
      <c r="G35" s="150">
        <v>25080</v>
      </c>
      <c r="H35" s="150">
        <f>22438.68+1591</f>
        <v>24029.68</v>
      </c>
      <c r="I35" s="150">
        <f>29909+1860</f>
        <v>31769</v>
      </c>
      <c r="J35" s="150">
        <f>1903+28481</f>
        <v>30384</v>
      </c>
      <c r="K35" s="150">
        <v>31133</v>
      </c>
    </row>
    <row r="36" spans="2:11" ht="20.25" x14ac:dyDescent="0.2">
      <c r="B36" s="42"/>
      <c r="C36" s="46" t="s">
        <v>38</v>
      </c>
      <c r="D36" s="46"/>
      <c r="E36" s="46"/>
      <c r="F36" s="46"/>
      <c r="G36" s="150">
        <f>G17</f>
        <v>9315</v>
      </c>
      <c r="H36" s="150">
        <f>H17</f>
        <v>9315</v>
      </c>
      <c r="I36" s="150">
        <f>I17</f>
        <v>9315</v>
      </c>
      <c r="J36" s="150">
        <f>J17</f>
        <v>10548</v>
      </c>
      <c r="K36" s="150">
        <f>K17</f>
        <v>10548</v>
      </c>
    </row>
    <row r="37" spans="2:11" ht="20.25" x14ac:dyDescent="0.2">
      <c r="B37" s="42"/>
      <c r="C37" s="46" t="s">
        <v>771</v>
      </c>
      <c r="D37" s="46"/>
      <c r="E37" s="46"/>
      <c r="F37" s="46"/>
      <c r="G37" s="150">
        <v>4075</v>
      </c>
      <c r="H37" s="150">
        <v>4497</v>
      </c>
      <c r="I37" s="150">
        <v>4682.25</v>
      </c>
      <c r="J37" s="150">
        <v>4231.88</v>
      </c>
      <c r="K37" s="150">
        <f>3948.9+400+400+447</f>
        <v>5195.8999999999996</v>
      </c>
    </row>
    <row r="38" spans="2:11" ht="20.25" x14ac:dyDescent="0.2">
      <c r="B38" s="42"/>
      <c r="C38" s="46" t="s">
        <v>125</v>
      </c>
      <c r="D38" s="46"/>
      <c r="E38" s="46"/>
      <c r="F38" s="46"/>
      <c r="G38" s="150">
        <v>1496</v>
      </c>
      <c r="H38" s="150">
        <f>75+874</f>
        <v>949</v>
      </c>
      <c r="I38" s="150">
        <v>982</v>
      </c>
      <c r="J38" s="150">
        <f>99+937</f>
        <v>1036</v>
      </c>
      <c r="K38" s="150">
        <v>2293</v>
      </c>
    </row>
    <row r="39" spans="2:11" ht="20.25" x14ac:dyDescent="0.2">
      <c r="B39" s="42"/>
      <c r="C39" s="46" t="s">
        <v>126</v>
      </c>
      <c r="D39" s="46"/>
      <c r="E39" s="46"/>
      <c r="F39" s="46"/>
      <c r="G39" s="150">
        <v>3430</v>
      </c>
      <c r="H39" s="150">
        <v>4436.1400000000003</v>
      </c>
      <c r="I39" s="150">
        <v>7774.44</v>
      </c>
      <c r="J39" s="150">
        <f>7884.62+184.74</f>
        <v>8069.36</v>
      </c>
      <c r="K39" s="150">
        <v>8659</v>
      </c>
    </row>
    <row r="40" spans="2:11" ht="20.25" x14ac:dyDescent="0.2">
      <c r="B40" s="42"/>
      <c r="C40" s="46" t="s">
        <v>127</v>
      </c>
      <c r="D40" s="46"/>
      <c r="E40" s="46"/>
      <c r="F40" s="46"/>
      <c r="G40" s="150">
        <v>459</v>
      </c>
      <c r="H40" s="150">
        <f>223.01+568.51</f>
        <v>791.52</v>
      </c>
      <c r="I40" s="150">
        <v>636.94000000000005</v>
      </c>
      <c r="J40" s="150">
        <f>958.23+28.31+10.3+36.4+4907.37</f>
        <v>5940.61</v>
      </c>
      <c r="K40" s="150">
        <v>1734</v>
      </c>
    </row>
    <row r="41" spans="2:11" ht="20.25" x14ac:dyDescent="0.2">
      <c r="B41" s="42"/>
      <c r="C41" s="46" t="s">
        <v>48</v>
      </c>
      <c r="D41" s="46"/>
      <c r="E41" s="46"/>
      <c r="F41" s="46"/>
      <c r="G41" s="150">
        <v>1041</v>
      </c>
      <c r="H41" s="150">
        <v>1826.56</v>
      </c>
      <c r="I41" s="150">
        <v>2528.2399999999998</v>
      </c>
      <c r="J41" s="150">
        <v>3426.72</v>
      </c>
      <c r="K41" s="150">
        <v>5037</v>
      </c>
    </row>
    <row r="42" spans="2:11" ht="20.25" x14ac:dyDescent="0.2">
      <c r="B42" s="42"/>
      <c r="C42" s="46" t="s">
        <v>44</v>
      </c>
      <c r="D42" s="46"/>
      <c r="E42" s="46"/>
      <c r="F42" s="46"/>
      <c r="G42" s="150">
        <v>436</v>
      </c>
      <c r="H42" s="150">
        <v>396.82</v>
      </c>
      <c r="I42" s="150">
        <v>385.18</v>
      </c>
      <c r="J42" s="150">
        <v>420.52</v>
      </c>
      <c r="K42" s="150">
        <v>659</v>
      </c>
    </row>
    <row r="43" spans="2:11" ht="20.25" x14ac:dyDescent="0.2">
      <c r="B43" s="42"/>
      <c r="C43" s="46" t="s">
        <v>128</v>
      </c>
      <c r="D43" s="46"/>
      <c r="E43" s="46"/>
      <c r="F43" s="46"/>
      <c r="G43" s="150"/>
      <c r="H43" s="150"/>
      <c r="I43" s="150"/>
      <c r="J43" s="150"/>
      <c r="K43" s="150"/>
    </row>
    <row r="44" spans="2:11" ht="20.25" x14ac:dyDescent="0.2">
      <c r="B44" s="46"/>
      <c r="C44" s="46" t="s">
        <v>40</v>
      </c>
      <c r="D44" s="46"/>
      <c r="E44" s="46"/>
      <c r="F44" s="46"/>
      <c r="G44" s="150">
        <v>205</v>
      </c>
      <c r="H44" s="150">
        <v>422.62</v>
      </c>
      <c r="I44" s="150">
        <v>265.58</v>
      </c>
      <c r="J44" s="150">
        <v>225.92</v>
      </c>
      <c r="K44" s="150">
        <v>278</v>
      </c>
    </row>
    <row r="45" spans="2:11" ht="20.25" x14ac:dyDescent="0.2">
      <c r="B45" s="46"/>
      <c r="C45" s="46" t="s">
        <v>129</v>
      </c>
      <c r="D45" s="46"/>
      <c r="E45" s="46"/>
      <c r="F45" s="46"/>
      <c r="G45" s="152">
        <v>542</v>
      </c>
      <c r="H45" s="152">
        <f>248.22+18.56+28.25+5</f>
        <v>300.02999999999997</v>
      </c>
      <c r="I45" s="152">
        <v>938.98</v>
      </c>
      <c r="J45" s="152">
        <f>292.24+4514.12-J37+84.23</f>
        <v>658.70999999999958</v>
      </c>
      <c r="K45" s="152">
        <f>586+1269-304+292-0.5</f>
        <v>1842.5</v>
      </c>
    </row>
    <row r="46" spans="2:11" ht="21" thickBot="1" x14ac:dyDescent="0.25">
      <c r="B46" s="42"/>
      <c r="C46" s="42"/>
      <c r="D46" s="42" t="s">
        <v>68</v>
      </c>
      <c r="E46" s="42"/>
      <c r="F46" s="42"/>
      <c r="G46" s="313">
        <f>SUM(G27:G45)</f>
        <v>347673</v>
      </c>
      <c r="H46" s="313">
        <f>SUM(H27:H45)</f>
        <v>375019.4200000001</v>
      </c>
      <c r="I46" s="313">
        <f>SUM(I27:I45)</f>
        <v>344190.97</v>
      </c>
      <c r="J46" s="313">
        <f>SUM(J27:J45)</f>
        <v>403803.55409999995</v>
      </c>
      <c r="K46" s="313">
        <f>SUM(K27:K45)</f>
        <v>480291.79399999999</v>
      </c>
    </row>
    <row r="47" spans="2:11" ht="21" thickBot="1" x14ac:dyDescent="0.25">
      <c r="B47" s="42"/>
      <c r="C47" s="42"/>
      <c r="D47" s="42" t="s">
        <v>130</v>
      </c>
      <c r="E47" s="42"/>
      <c r="F47" s="42"/>
      <c r="G47" s="314">
        <f>G21-G46</f>
        <v>-14846</v>
      </c>
      <c r="H47" s="314">
        <f>H21-H46</f>
        <v>23148.419999999867</v>
      </c>
      <c r="I47" s="314">
        <f>I21-I46</f>
        <v>-39845.239999999991</v>
      </c>
      <c r="J47" s="314">
        <f>J21-J46</f>
        <v>-63565.374100000015</v>
      </c>
      <c r="K47" s="314">
        <f>K21-K46</f>
        <v>-163116.29399999999</v>
      </c>
    </row>
    <row r="49" spans="3:11" ht="25.5" x14ac:dyDescent="0.2">
      <c r="C49" s="46" t="s">
        <v>131</v>
      </c>
      <c r="D49" s="40"/>
      <c r="E49" s="46"/>
      <c r="F49" s="46"/>
      <c r="G49" s="532"/>
      <c r="H49" s="532">
        <f>-69500</f>
        <v>-69500</v>
      </c>
      <c r="I49" s="46"/>
      <c r="J49" s="150"/>
      <c r="K49" s="150"/>
    </row>
    <row r="50" spans="3:11" ht="20.25" x14ac:dyDescent="0.2">
      <c r="C50" s="46" t="s">
        <v>132</v>
      </c>
      <c r="D50" s="43"/>
      <c r="E50" s="42"/>
      <c r="F50" s="43"/>
      <c r="G50" s="150">
        <f>G35</f>
        <v>25080</v>
      </c>
      <c r="H50" s="150">
        <f>H35</f>
        <v>24029.68</v>
      </c>
      <c r="I50" s="150">
        <f>I35</f>
        <v>31769</v>
      </c>
      <c r="J50" s="150">
        <f>J35</f>
        <v>30384</v>
      </c>
      <c r="K50" s="150">
        <f>K35</f>
        <v>31133</v>
      </c>
    </row>
    <row r="51" spans="3:11" ht="21" thickBot="1" x14ac:dyDescent="0.25">
      <c r="C51" s="42"/>
      <c r="D51" s="817" t="s">
        <v>133</v>
      </c>
      <c r="E51" s="817"/>
      <c r="F51" s="817"/>
      <c r="G51" s="315">
        <f>G47+G49+G50</f>
        <v>10234</v>
      </c>
      <c r="H51" s="315">
        <f>H47+H49+H50</f>
        <v>-22321.900000000132</v>
      </c>
      <c r="I51" s="315">
        <f>I47+I49+I50</f>
        <v>-8076.2399999999907</v>
      </c>
      <c r="J51" s="315">
        <f>J47+J49+J50</f>
        <v>-33181.374100000015</v>
      </c>
      <c r="K51" s="315">
        <f>K47+K49+K50</f>
        <v>-131983.29399999999</v>
      </c>
    </row>
    <row r="52" spans="3:11" ht="21" thickTop="1" x14ac:dyDescent="0.2">
      <c r="C52" s="42"/>
      <c r="D52" s="42"/>
      <c r="E52" s="42"/>
      <c r="F52" s="42"/>
      <c r="G52" s="42"/>
      <c r="H52" s="42"/>
      <c r="I52" s="42"/>
      <c r="J52" s="150"/>
      <c r="K52" s="150"/>
    </row>
    <row r="53" spans="3:11" ht="20.25" x14ac:dyDescent="0.2">
      <c r="C53" s="46"/>
      <c r="D53" s="46"/>
      <c r="E53" s="43"/>
      <c r="F53" s="46" t="s">
        <v>134</v>
      </c>
      <c r="G53" s="150">
        <v>225930</v>
      </c>
      <c r="H53" s="150">
        <v>227723</v>
      </c>
      <c r="I53" s="150">
        <v>178666</v>
      </c>
      <c r="J53" s="150">
        <v>206080</v>
      </c>
      <c r="K53" s="150">
        <v>227490</v>
      </c>
    </row>
    <row r="54" spans="3:11" ht="21" thickBot="1" x14ac:dyDescent="0.25">
      <c r="C54" s="46"/>
      <c r="D54" s="46"/>
      <c r="E54" s="43"/>
      <c r="F54" s="46" t="s">
        <v>135</v>
      </c>
      <c r="G54" s="405">
        <f>(G46-G35-G36)/G53</f>
        <v>1.386615323330235</v>
      </c>
      <c r="H54" s="405">
        <f>(H46-H35-H36)/H53</f>
        <v>1.5003962709080774</v>
      </c>
      <c r="I54" s="405">
        <f>(I46-I35-I36)/I53</f>
        <v>1.6965005653006167</v>
      </c>
      <c r="J54" s="405">
        <f>(J46-J35-J36)/J53</f>
        <v>1.7608285816187885</v>
      </c>
      <c r="K54" s="405">
        <f>(K46-K35-K36)/K53</f>
        <v>1.9280442832651985</v>
      </c>
    </row>
    <row r="55" spans="3:11" ht="20.25" x14ac:dyDescent="0.2">
      <c r="C55" s="46"/>
      <c r="D55" s="46"/>
      <c r="E55" s="43"/>
      <c r="F55" s="46"/>
      <c r="G55" s="46"/>
      <c r="H55" s="150"/>
      <c r="I55" s="150"/>
      <c r="J55" s="150"/>
      <c r="K55" s="150"/>
    </row>
    <row r="56" spans="3:11" ht="20.25" x14ac:dyDescent="0.2">
      <c r="C56" s="46"/>
      <c r="D56" s="46"/>
      <c r="E56" s="43"/>
      <c r="F56" s="46" t="s">
        <v>136</v>
      </c>
      <c r="G56" s="150">
        <v>15755</v>
      </c>
      <c r="H56" s="150">
        <v>16457</v>
      </c>
      <c r="I56" s="150">
        <v>10151</v>
      </c>
      <c r="J56" s="150">
        <v>10428</v>
      </c>
      <c r="K56" s="150">
        <v>11449</v>
      </c>
    </row>
    <row r="57" spans="3:11" ht="21" thickBot="1" x14ac:dyDescent="0.25">
      <c r="C57" s="46"/>
      <c r="D57" s="46"/>
      <c r="E57" s="43"/>
      <c r="F57" s="46" t="s">
        <v>137</v>
      </c>
      <c r="G57" s="405">
        <f>(G46-G35-G36)/G56</f>
        <v>19.884354173278325</v>
      </c>
      <c r="H57" s="405">
        <f>(H46-H35-H36)/H56</f>
        <v>20.761666160296535</v>
      </c>
      <c r="I57" s="405">
        <f>(I46-I35-I36)/I56</f>
        <v>29.859813811447147</v>
      </c>
      <c r="J57" s="405">
        <f>(J46-J35-J36)/J56</f>
        <v>34.797809177215186</v>
      </c>
      <c r="K57" s="405">
        <f>(K46-K35-K36)/K56</f>
        <v>38.309965411826362</v>
      </c>
    </row>
    <row r="58" spans="3:11" ht="20.25" x14ac:dyDescent="0.2">
      <c r="C58" s="46"/>
      <c r="D58" s="46"/>
      <c r="E58" s="43"/>
      <c r="F58" s="46"/>
      <c r="G58" s="46"/>
      <c r="H58" s="150"/>
      <c r="I58" s="150"/>
      <c r="J58" s="150"/>
      <c r="K58" s="150"/>
    </row>
    <row r="59" spans="3:11" ht="20.25" hidden="1" x14ac:dyDescent="0.2">
      <c r="C59" s="42"/>
      <c r="D59" s="46"/>
      <c r="E59" s="43"/>
      <c r="F59" s="46" t="s">
        <v>138</v>
      </c>
      <c r="G59" s="46"/>
      <c r="H59" s="150">
        <v>2102</v>
      </c>
      <c r="I59" s="150">
        <v>2696</v>
      </c>
      <c r="J59" s="150">
        <v>2714</v>
      </c>
      <c r="K59" s="150">
        <v>2714</v>
      </c>
    </row>
    <row r="60" spans="3:11" ht="21" hidden="1" thickBot="1" x14ac:dyDescent="0.25">
      <c r="C60" s="46"/>
      <c r="D60" s="46"/>
      <c r="E60" s="46"/>
      <c r="F60" s="46" t="s">
        <v>139</v>
      </c>
      <c r="G60" s="46"/>
      <c r="H60" s="405">
        <f>H9/H59</f>
        <v>5.8413035204567079</v>
      </c>
      <c r="I60" s="405">
        <f>I8/I59</f>
        <v>25.248538575667656</v>
      </c>
      <c r="J60" s="405">
        <f>J8/J59</f>
        <v>31.557439204126752</v>
      </c>
      <c r="K60" s="405">
        <f>K8/K59</f>
        <v>31.12675018422992</v>
      </c>
    </row>
    <row r="61" spans="3:11" ht="20.25" hidden="1" x14ac:dyDescent="0.2">
      <c r="C61" s="42"/>
      <c r="D61" s="42"/>
      <c r="E61" s="43"/>
      <c r="F61" s="43"/>
      <c r="G61" s="43"/>
      <c r="H61" s="43"/>
      <c r="I61" s="150"/>
      <c r="J61" s="150"/>
      <c r="K61" s="150"/>
    </row>
    <row r="62" spans="3:11" ht="20.25" hidden="1" x14ac:dyDescent="0.2">
      <c r="C62" s="46"/>
      <c r="D62" s="46"/>
      <c r="E62" s="46"/>
      <c r="F62" s="46" t="s">
        <v>140</v>
      </c>
      <c r="G62" s="46"/>
      <c r="H62" s="150">
        <v>195138</v>
      </c>
      <c r="I62" s="150">
        <v>104281</v>
      </c>
      <c r="J62" s="150">
        <v>114885</v>
      </c>
      <c r="K62" s="150">
        <v>134000</v>
      </c>
    </row>
    <row r="63" spans="3:11" ht="21" hidden="1" thickBot="1" x14ac:dyDescent="0.25">
      <c r="C63" s="46"/>
      <c r="D63" s="46"/>
      <c r="E63" s="46"/>
      <c r="F63" s="46" t="s">
        <v>135</v>
      </c>
      <c r="G63" s="46"/>
      <c r="H63" s="405">
        <f>(H46-H35-H36)/H62</f>
        <v>1.7509390277649668</v>
      </c>
      <c r="I63" s="405">
        <f>(I46-I35-I36)/I62</f>
        <v>2.9066365876813607</v>
      </c>
      <c r="J63" s="405">
        <f>(J46-J35-J36)/J62</f>
        <v>3.1585633816425118</v>
      </c>
      <c r="K63" s="405">
        <f>(K46-K35-K36)/K62</f>
        <v>3.2732148805970147</v>
      </c>
    </row>
    <row r="65" spans="6:11" ht="20.25" hidden="1" x14ac:dyDescent="0.2">
      <c r="F65" s="46" t="s">
        <v>140</v>
      </c>
      <c r="G65" s="46"/>
      <c r="H65" s="150">
        <v>195138</v>
      </c>
      <c r="I65" s="150">
        <v>104281</v>
      </c>
      <c r="J65" s="150">
        <v>114885</v>
      </c>
      <c r="K65" s="150">
        <f>K62</f>
        <v>134000</v>
      </c>
    </row>
    <row r="66" spans="6:11" ht="20.25" hidden="1" x14ac:dyDescent="0.2">
      <c r="F66" s="46" t="s">
        <v>136</v>
      </c>
      <c r="G66" s="46"/>
      <c r="H66" s="150">
        <v>16457</v>
      </c>
      <c r="I66" s="150">
        <v>10151</v>
      </c>
      <c r="J66" s="150">
        <v>10428</v>
      </c>
      <c r="K66" s="150">
        <f>K56</f>
        <v>11449</v>
      </c>
    </row>
    <row r="67" spans="6:11" ht="21" hidden="1" thickBot="1" x14ac:dyDescent="0.25">
      <c r="F67" s="46" t="s">
        <v>141</v>
      </c>
      <c r="G67" s="46"/>
      <c r="H67" s="533">
        <f>H65/H66</f>
        <v>11.857446679224646</v>
      </c>
      <c r="I67" s="533">
        <f>I65/I66</f>
        <v>10.272978031721014</v>
      </c>
      <c r="J67" s="533">
        <f>J65/J66</f>
        <v>11.016973532796317</v>
      </c>
      <c r="K67" s="533">
        <f>K65/K66</f>
        <v>11.704078958861036</v>
      </c>
    </row>
    <row r="68" spans="6:11" ht="20.25" hidden="1" x14ac:dyDescent="0.2">
      <c r="F68" s="42"/>
      <c r="G68" s="42"/>
      <c r="H68" s="42"/>
      <c r="I68" s="153"/>
      <c r="J68" s="153"/>
      <c r="K68" s="153"/>
    </row>
    <row r="69" spans="6:11" ht="20.25" hidden="1" x14ac:dyDescent="0.2">
      <c r="F69" s="46" t="s">
        <v>142</v>
      </c>
      <c r="G69" s="46"/>
      <c r="H69" s="150">
        <v>227723</v>
      </c>
      <c r="I69" s="150">
        <v>178666</v>
      </c>
      <c r="J69" s="150">
        <v>206080</v>
      </c>
      <c r="K69" s="150">
        <f>K53</f>
        <v>227490</v>
      </c>
    </row>
    <row r="70" spans="6:11" ht="20.25" hidden="1" x14ac:dyDescent="0.2">
      <c r="F70" s="46" t="s">
        <v>136</v>
      </c>
      <c r="G70" s="46"/>
      <c r="H70" s="150">
        <v>16457</v>
      </c>
      <c r="I70" s="150">
        <v>10151</v>
      </c>
      <c r="J70" s="150">
        <v>10428</v>
      </c>
      <c r="K70" s="150">
        <f>K56</f>
        <v>11449</v>
      </c>
    </row>
    <row r="71" spans="6:11" ht="21" hidden="1" thickBot="1" x14ac:dyDescent="0.25">
      <c r="F71" s="46" t="s">
        <v>143</v>
      </c>
      <c r="G71" s="46"/>
      <c r="H71" s="533">
        <f>H69/H70</f>
        <v>13.837455186242936</v>
      </c>
      <c r="I71" s="533">
        <f>I69/I70</f>
        <v>17.600827504679341</v>
      </c>
      <c r="J71" s="533">
        <f>J69/J70</f>
        <v>19.762178749520523</v>
      </c>
      <c r="K71" s="533">
        <f>K69/K70</f>
        <v>19.869857629487292</v>
      </c>
    </row>
    <row r="72" spans="6:11" ht="20.25" hidden="1" x14ac:dyDescent="0.2">
      <c r="F72" s="46"/>
      <c r="G72" s="46"/>
      <c r="H72" s="534"/>
      <c r="I72" s="534"/>
      <c r="J72" s="534"/>
      <c r="K72" s="534"/>
    </row>
    <row r="73" spans="6:11" ht="20.25" hidden="1" x14ac:dyDescent="0.2">
      <c r="F73" s="535" t="s">
        <v>144</v>
      </c>
      <c r="G73" s="535"/>
      <c r="H73" s="42"/>
      <c r="I73" s="42"/>
      <c r="J73" s="153"/>
      <c r="K73" s="153"/>
    </row>
    <row r="74" spans="6:11" ht="20.25" hidden="1" x14ac:dyDescent="0.2">
      <c r="F74" s="42" t="s">
        <v>145</v>
      </c>
      <c r="G74" s="42"/>
      <c r="H74" s="536">
        <f t="shared" ref="H74:J74" si="0">H27+(H27*0.21)+H31+H33</f>
        <v>237890.76749999999</v>
      </c>
      <c r="I74" s="536">
        <f t="shared" si="0"/>
        <v>188101.25649999999</v>
      </c>
      <c r="J74" s="536">
        <f t="shared" si="0"/>
        <v>232210.04700000002</v>
      </c>
      <c r="K74" s="536">
        <f>K27+(K27*0.2)+K31+K33</f>
        <v>294958.59999999998</v>
      </c>
    </row>
    <row r="75" spans="6:11" ht="20.25" hidden="1" x14ac:dyDescent="0.2">
      <c r="F75" s="42" t="s">
        <v>146</v>
      </c>
      <c r="G75" s="42"/>
      <c r="H75" s="153">
        <f>H46-H74-H76</f>
        <v>103783.97250000012</v>
      </c>
      <c r="I75" s="153">
        <f>I46-I74-I76</f>
        <v>115005.71349999998</v>
      </c>
      <c r="J75" s="153">
        <f>J46-J74-J76</f>
        <v>130661.50709999993</v>
      </c>
      <c r="K75" s="153">
        <f>K46-K74-K76</f>
        <v>143652.19400000002</v>
      </c>
    </row>
    <row r="76" spans="6:11" ht="20.25" hidden="1" x14ac:dyDescent="0.2">
      <c r="F76" s="42" t="s">
        <v>147</v>
      </c>
      <c r="G76" s="42"/>
      <c r="H76" s="153">
        <f>H35+H36</f>
        <v>33344.68</v>
      </c>
      <c r="I76" s="153">
        <f>I35+I36</f>
        <v>41084</v>
      </c>
      <c r="J76" s="153">
        <f>J35+J36</f>
        <v>40932</v>
      </c>
      <c r="K76" s="153">
        <f>K35+K36</f>
        <v>41681</v>
      </c>
    </row>
    <row r="77" spans="6:11" ht="21" hidden="1" thickBot="1" x14ac:dyDescent="0.25">
      <c r="F77" s="42" t="s">
        <v>148</v>
      </c>
      <c r="G77" s="42"/>
      <c r="H77" s="537">
        <f>SUM(H74:H76)</f>
        <v>375019.4200000001</v>
      </c>
      <c r="I77" s="537">
        <f>SUM(I74:I76)</f>
        <v>344190.97</v>
      </c>
      <c r="J77" s="537">
        <f>SUM(J74:J76)</f>
        <v>403803.55409999995</v>
      </c>
      <c r="K77" s="537">
        <f>SUM(K74:K76)</f>
        <v>480291.79399999999</v>
      </c>
    </row>
    <row r="78" spans="6:11" ht="21" hidden="1" thickTop="1" x14ac:dyDescent="0.2">
      <c r="F78" s="42" t="s">
        <v>149</v>
      </c>
      <c r="G78" s="42"/>
      <c r="H78" s="538">
        <v>195138</v>
      </c>
      <c r="I78" s="538">
        <v>104281</v>
      </c>
      <c r="J78" s="539">
        <f>J62</f>
        <v>114885</v>
      </c>
      <c r="K78" s="539">
        <f>K62</f>
        <v>134000</v>
      </c>
    </row>
    <row r="79" spans="6:11" ht="20.25" hidden="1" x14ac:dyDescent="0.2">
      <c r="F79" s="42" t="s">
        <v>150</v>
      </c>
      <c r="G79" s="42"/>
      <c r="H79" s="540">
        <f>H74/H78</f>
        <v>1.2190899132921316</v>
      </c>
      <c r="I79" s="540">
        <f>I74/I78</f>
        <v>1.8037922200592629</v>
      </c>
      <c r="J79" s="540">
        <f>J74/J78</f>
        <v>2.0212390390390391</v>
      </c>
      <c r="K79" s="540">
        <f>K74/K78</f>
        <v>2.201183582089552</v>
      </c>
    </row>
    <row r="80" spans="6:11" ht="20.25" hidden="1" x14ac:dyDescent="0.2">
      <c r="F80" s="42" t="s">
        <v>151</v>
      </c>
      <c r="G80" s="42"/>
      <c r="H80" s="540">
        <f>H75/H56</f>
        <v>6.3063725162544886</v>
      </c>
      <c r="I80" s="540">
        <f>I75/I56</f>
        <v>11.329495960989064</v>
      </c>
      <c r="J80" s="540">
        <f>J75/J56</f>
        <v>12.529872180667427</v>
      </c>
      <c r="K80" s="540">
        <f>K75/K56</f>
        <v>12.54713896410167</v>
      </c>
    </row>
    <row r="83" spans="6:11" ht="20.25" hidden="1" x14ac:dyDescent="0.2">
      <c r="F83" s="42" t="s">
        <v>145</v>
      </c>
      <c r="G83" s="42"/>
      <c r="H83" s="153">
        <f>H23-H84-H85</f>
        <v>238182.86749999985</v>
      </c>
      <c r="I83" s="153">
        <f>I21-I84-I85</f>
        <v>180025.0165</v>
      </c>
      <c r="J83" s="153">
        <f>J21-J84-J85</f>
        <v>199028.67290000001</v>
      </c>
      <c r="K83" s="153">
        <f>K21-K84-K85</f>
        <v>162975.30599999998</v>
      </c>
    </row>
    <row r="84" spans="6:11" ht="20.25" hidden="1" x14ac:dyDescent="0.2">
      <c r="F84" s="42" t="s">
        <v>146</v>
      </c>
      <c r="G84" s="42"/>
      <c r="H84" s="538">
        <f>H75</f>
        <v>103783.97250000012</v>
      </c>
      <c r="I84" s="538">
        <f>I75</f>
        <v>115005.71349999998</v>
      </c>
      <c r="J84" s="153">
        <f>J75</f>
        <v>130661.50709999993</v>
      </c>
      <c r="K84" s="153">
        <f>K75</f>
        <v>143652.19400000002</v>
      </c>
    </row>
    <row r="85" spans="6:11" ht="20.25" hidden="1" x14ac:dyDescent="0.2">
      <c r="F85" s="42" t="s">
        <v>152</v>
      </c>
      <c r="G85" s="42"/>
      <c r="H85" s="538">
        <f>H17</f>
        <v>9315</v>
      </c>
      <c r="I85" s="538">
        <f>I17</f>
        <v>9315</v>
      </c>
      <c r="J85" s="153">
        <f>J36</f>
        <v>10548</v>
      </c>
      <c r="K85" s="153">
        <f>K36</f>
        <v>10548</v>
      </c>
    </row>
    <row r="86" spans="6:11" ht="21" hidden="1" thickBot="1" x14ac:dyDescent="0.25">
      <c r="F86" s="42" t="s">
        <v>153</v>
      </c>
      <c r="G86" s="42"/>
      <c r="H86" s="487">
        <f>SUM(H83:H85)</f>
        <v>351281.83999999997</v>
      </c>
      <c r="I86" s="487">
        <f>SUM(I83:I85)</f>
        <v>304345.73</v>
      </c>
      <c r="J86" s="487">
        <f>SUM(J83:J85)</f>
        <v>340238.17999999993</v>
      </c>
      <c r="K86" s="487">
        <f>SUM(K83:K85)</f>
        <v>317175.5</v>
      </c>
    </row>
    <row r="87" spans="6:11" ht="21" hidden="1" thickTop="1" x14ac:dyDescent="0.2">
      <c r="F87" s="42" t="s">
        <v>154</v>
      </c>
      <c r="G87" s="42"/>
      <c r="H87" s="153">
        <f>H66</f>
        <v>16457</v>
      </c>
      <c r="I87" s="153">
        <f>I66</f>
        <v>10151</v>
      </c>
      <c r="J87" s="153">
        <f>J56</f>
        <v>10428</v>
      </c>
      <c r="K87" s="153">
        <v>11740</v>
      </c>
    </row>
    <row r="88" spans="6:11" ht="20.25" hidden="1" x14ac:dyDescent="0.3">
      <c r="F88" s="42" t="s">
        <v>155</v>
      </c>
      <c r="G88" s="42"/>
      <c r="H88" s="542">
        <f>H83/H79/H67</f>
        <v>16477.207130148494</v>
      </c>
      <c r="I88" s="542">
        <f>I83/I79/I67</f>
        <v>9715.1607410527849</v>
      </c>
      <c r="J88" s="542">
        <f>J83/J79/J67</f>
        <v>8937.9035395535666</v>
      </c>
      <c r="K88" s="542">
        <f>K83/K79/K67</f>
        <v>6325.9870313799975</v>
      </c>
    </row>
    <row r="89" spans="6:11" ht="20.25" hidden="1" x14ac:dyDescent="0.3">
      <c r="F89" s="42" t="s">
        <v>156</v>
      </c>
      <c r="G89" s="42"/>
      <c r="H89" s="543">
        <f>H88-H87</f>
        <v>20.207130148493889</v>
      </c>
      <c r="I89" s="543">
        <f>I88-I87</f>
        <v>-435.83925894721506</v>
      </c>
      <c r="J89" s="543">
        <f>J88-J87</f>
        <v>-1490.0964604464334</v>
      </c>
      <c r="K89" s="543">
        <f>K88-K87</f>
        <v>-5414.0129686200025</v>
      </c>
    </row>
    <row r="90" spans="6:11" ht="20.25" hidden="1" x14ac:dyDescent="0.3">
      <c r="F90" s="42" t="s">
        <v>150</v>
      </c>
      <c r="G90" s="42"/>
      <c r="H90" s="544">
        <f>H83/(H88*H67)</f>
        <v>1.2190899132921318</v>
      </c>
      <c r="I90" s="544">
        <f>I83/(I88*I67)</f>
        <v>1.8037922200592629</v>
      </c>
      <c r="J90" s="544">
        <f>J83/(J88*J67)</f>
        <v>2.0212390390390391</v>
      </c>
      <c r="K90" s="544">
        <f>K83/(K88*K67)</f>
        <v>2.201183582089552</v>
      </c>
    </row>
    <row r="91" spans="6:11" ht="20.25" hidden="1" x14ac:dyDescent="0.3">
      <c r="F91" s="42" t="s">
        <v>151</v>
      </c>
      <c r="G91" s="42"/>
      <c r="H91" s="544">
        <f>H84/H88</f>
        <v>6.2986385787495296</v>
      </c>
      <c r="I91" s="544">
        <f>I84/I88</f>
        <v>11.837757147344673</v>
      </c>
      <c r="J91" s="544">
        <f>J84/J88</f>
        <v>14.618809267942297</v>
      </c>
      <c r="K91" s="544">
        <f>K84/K88</f>
        <v>22.708265648888418</v>
      </c>
    </row>
    <row r="92" spans="6:11" ht="20.25" hidden="1" x14ac:dyDescent="0.3">
      <c r="F92" s="42"/>
      <c r="G92" s="42"/>
      <c r="H92" s="42"/>
      <c r="I92" s="544"/>
      <c r="J92" s="544"/>
      <c r="K92" s="544"/>
    </row>
    <row r="93" spans="6:11" ht="20.25" hidden="1" x14ac:dyDescent="0.3">
      <c r="F93" s="33"/>
      <c r="G93" s="33"/>
      <c r="H93" s="33"/>
      <c r="I93" s="33"/>
      <c r="J93" s="183"/>
      <c r="K93" s="183"/>
    </row>
    <row r="94" spans="6:11" ht="20.25" hidden="1" x14ac:dyDescent="0.3">
      <c r="F94" s="33"/>
      <c r="G94" s="33"/>
      <c r="H94" s="33"/>
      <c r="I94" s="33"/>
      <c r="J94" s="183"/>
      <c r="K94" s="183"/>
    </row>
    <row r="95" spans="6:11" ht="20.25" hidden="1" x14ac:dyDescent="0.3">
      <c r="F95" s="535" t="s">
        <v>157</v>
      </c>
      <c r="G95" s="535"/>
      <c r="H95" s="33"/>
      <c r="I95" s="33"/>
      <c r="J95" s="183"/>
      <c r="K95" s="183"/>
    </row>
    <row r="96" spans="6:11" ht="20.25" hidden="1" x14ac:dyDescent="0.2">
      <c r="F96" s="42" t="s">
        <v>145</v>
      </c>
      <c r="G96" s="42"/>
      <c r="H96" s="536">
        <f t="shared" ref="H96:J98" si="1">H74</f>
        <v>237890.76749999999</v>
      </c>
      <c r="I96" s="536">
        <f t="shared" si="1"/>
        <v>188101.25649999999</v>
      </c>
      <c r="J96" s="536">
        <f t="shared" si="1"/>
        <v>232210.04700000002</v>
      </c>
      <c r="K96" s="536">
        <f>K74</f>
        <v>294958.59999999998</v>
      </c>
    </row>
    <row r="97" spans="6:11" ht="20.25" hidden="1" x14ac:dyDescent="0.2">
      <c r="F97" s="42" t="s">
        <v>146</v>
      </c>
      <c r="G97" s="42"/>
      <c r="H97" s="153">
        <f t="shared" si="1"/>
        <v>103783.97250000012</v>
      </c>
      <c r="I97" s="153">
        <f t="shared" si="1"/>
        <v>115005.71349999998</v>
      </c>
      <c r="J97" s="153">
        <f t="shared" si="1"/>
        <v>130661.50709999993</v>
      </c>
      <c r="K97" s="153">
        <f>K75</f>
        <v>143652.19400000002</v>
      </c>
    </row>
    <row r="98" spans="6:11" ht="20.25" hidden="1" x14ac:dyDescent="0.2">
      <c r="F98" s="42" t="s">
        <v>147</v>
      </c>
      <c r="G98" s="42"/>
      <c r="H98" s="153">
        <f t="shared" si="1"/>
        <v>33344.68</v>
      </c>
      <c r="I98" s="153">
        <f t="shared" si="1"/>
        <v>41084</v>
      </c>
      <c r="J98" s="153">
        <f t="shared" si="1"/>
        <v>40932</v>
      </c>
      <c r="K98" s="153">
        <f>K76</f>
        <v>41681</v>
      </c>
    </row>
    <row r="99" spans="6:11" ht="21" hidden="1" thickBot="1" x14ac:dyDescent="0.25">
      <c r="F99" s="42" t="s">
        <v>148</v>
      </c>
      <c r="G99" s="42"/>
      <c r="H99" s="537">
        <f>SUM(H96:H98)</f>
        <v>375019.4200000001</v>
      </c>
      <c r="I99" s="537">
        <f>SUM(I96:I98)</f>
        <v>344190.97</v>
      </c>
      <c r="J99" s="537">
        <f>SUM(J96:J98)</f>
        <v>403803.55409999995</v>
      </c>
      <c r="K99" s="537">
        <f>SUM(K96:K98)</f>
        <v>480291.79399999999</v>
      </c>
    </row>
    <row r="100" spans="6:11" ht="21" hidden="1" thickTop="1" x14ac:dyDescent="0.2">
      <c r="F100" s="42" t="s">
        <v>158</v>
      </c>
      <c r="G100" s="42"/>
      <c r="H100" s="153">
        <f>H53</f>
        <v>227723</v>
      </c>
      <c r="I100" s="153">
        <f t="shared" ref="I100:K100" si="2">I53</f>
        <v>178666</v>
      </c>
      <c r="J100" s="153">
        <f t="shared" si="2"/>
        <v>206080</v>
      </c>
      <c r="K100" s="153">
        <f t="shared" si="2"/>
        <v>227490</v>
      </c>
    </row>
    <row r="101" spans="6:11" ht="20.25" hidden="1" x14ac:dyDescent="0.2">
      <c r="F101" s="42" t="s">
        <v>159</v>
      </c>
      <c r="G101" s="42"/>
      <c r="H101" s="540">
        <f>H96/H100</f>
        <v>1.0446497169807178</v>
      </c>
      <c r="I101" s="540">
        <f>I96/I100</f>
        <v>1.0528094685054794</v>
      </c>
      <c r="J101" s="540">
        <f>J96/J100</f>
        <v>1.1267956473214287</v>
      </c>
      <c r="K101" s="540">
        <f>K96/K100</f>
        <v>1.2965783111345552</v>
      </c>
    </row>
    <row r="102" spans="6:11" ht="20.25" hidden="1" x14ac:dyDescent="0.2">
      <c r="F102" s="42" t="s">
        <v>151</v>
      </c>
      <c r="G102" s="42"/>
      <c r="H102" s="540">
        <f t="shared" ref="H102:K102" si="3">H97/H56</f>
        <v>6.3063725162544886</v>
      </c>
      <c r="I102" s="540">
        <f t="shared" si="3"/>
        <v>11.329495960989064</v>
      </c>
      <c r="J102" s="540">
        <f t="shared" si="3"/>
        <v>12.529872180667427</v>
      </c>
      <c r="K102" s="540">
        <f t="shared" si="3"/>
        <v>12.54713896410167</v>
      </c>
    </row>
    <row r="103" spans="6:11" ht="20.25" hidden="1" x14ac:dyDescent="0.3">
      <c r="F103" s="33"/>
      <c r="G103" s="33"/>
      <c r="H103" s="183"/>
      <c r="I103" s="183"/>
      <c r="J103" s="183"/>
      <c r="K103" s="183"/>
    </row>
    <row r="104" spans="6:11" ht="20.25" hidden="1" x14ac:dyDescent="0.2">
      <c r="F104" s="33"/>
      <c r="G104" s="33"/>
      <c r="H104" s="150"/>
      <c r="I104" s="150"/>
      <c r="J104" s="150"/>
      <c r="K104" s="150"/>
    </row>
    <row r="105" spans="6:11" ht="20.25" hidden="1" x14ac:dyDescent="0.2">
      <c r="F105" s="42" t="s">
        <v>145</v>
      </c>
      <c r="G105" s="42"/>
      <c r="H105" s="153">
        <f>H23-H106-H107</f>
        <v>238182.86749999985</v>
      </c>
      <c r="I105" s="153">
        <f>I21-I106-I107</f>
        <v>180025.0165</v>
      </c>
      <c r="J105" s="153">
        <f>J21-J106-J107</f>
        <v>199028.67290000001</v>
      </c>
      <c r="K105" s="153">
        <f>K21-K106-K107</f>
        <v>162975.30599999998</v>
      </c>
    </row>
    <row r="106" spans="6:11" ht="20.25" hidden="1" x14ac:dyDescent="0.2">
      <c r="F106" s="42" t="s">
        <v>146</v>
      </c>
      <c r="G106" s="42"/>
      <c r="H106" s="153">
        <f t="shared" ref="H106:I106" si="4">H97</f>
        <v>103783.97250000012</v>
      </c>
      <c r="I106" s="153">
        <f t="shared" si="4"/>
        <v>115005.71349999998</v>
      </c>
      <c r="J106" s="153">
        <f>J97</f>
        <v>130661.50709999993</v>
      </c>
      <c r="K106" s="153">
        <f t="shared" ref="K106" si="5">K97</f>
        <v>143652.19400000002</v>
      </c>
    </row>
    <row r="107" spans="6:11" ht="20.25" hidden="1" x14ac:dyDescent="0.2">
      <c r="F107" s="42" t="s">
        <v>38</v>
      </c>
      <c r="G107" s="42"/>
      <c r="H107" s="153">
        <f>H36</f>
        <v>9315</v>
      </c>
      <c r="I107" s="153">
        <f>I36</f>
        <v>9315</v>
      </c>
      <c r="J107" s="153">
        <f>J36</f>
        <v>10548</v>
      </c>
      <c r="K107" s="153">
        <f>K36</f>
        <v>10548</v>
      </c>
    </row>
    <row r="108" spans="6:11" ht="21" hidden="1" thickBot="1" x14ac:dyDescent="0.25">
      <c r="F108" s="42" t="s">
        <v>153</v>
      </c>
      <c r="G108" s="42"/>
      <c r="H108" s="487">
        <f>SUM(H105:H107)</f>
        <v>351281.83999999997</v>
      </c>
      <c r="I108" s="487">
        <f>SUM(I105:I107)</f>
        <v>304345.73</v>
      </c>
      <c r="J108" s="487">
        <f>SUM(J105:J107)</f>
        <v>340238.17999999993</v>
      </c>
      <c r="K108" s="487">
        <f>SUM(K105:K107)</f>
        <v>317175.5</v>
      </c>
    </row>
    <row r="109" spans="6:11" ht="21" hidden="1" thickTop="1" x14ac:dyDescent="0.2">
      <c r="F109" s="42" t="s">
        <v>154</v>
      </c>
      <c r="G109" s="42"/>
      <c r="H109" s="153">
        <f>H87</f>
        <v>16457</v>
      </c>
      <c r="I109" s="153">
        <f>I87</f>
        <v>10151</v>
      </c>
      <c r="J109" s="153">
        <f>J87</f>
        <v>10428</v>
      </c>
      <c r="K109" s="153">
        <f>K87</f>
        <v>11740</v>
      </c>
    </row>
    <row r="110" spans="6:11" ht="20.25" hidden="1" x14ac:dyDescent="0.3">
      <c r="F110" s="42" t="s">
        <v>155</v>
      </c>
      <c r="G110" s="42"/>
      <c r="H110" s="542">
        <f t="shared" ref="H110:K110" si="6">H105/H101/H71</f>
        <v>16477.207130148494</v>
      </c>
      <c r="I110" s="542">
        <f t="shared" si="6"/>
        <v>9715.1607410527868</v>
      </c>
      <c r="J110" s="542">
        <f t="shared" si="6"/>
        <v>8937.9035395535648</v>
      </c>
      <c r="K110" s="542">
        <f t="shared" si="6"/>
        <v>6325.9870313799966</v>
      </c>
    </row>
    <row r="111" spans="6:11" ht="20.25" hidden="1" x14ac:dyDescent="0.3">
      <c r="F111" s="42" t="s">
        <v>156</v>
      </c>
      <c r="G111" s="42"/>
      <c r="H111" s="543">
        <f>H110-H109</f>
        <v>20.207130148493889</v>
      </c>
      <c r="I111" s="543">
        <f>I110-I109</f>
        <v>-435.83925894721324</v>
      </c>
      <c r="J111" s="543">
        <f>J110-J109</f>
        <v>-1490.0964604464352</v>
      </c>
      <c r="K111" s="543">
        <f>K110-K109</f>
        <v>-5414.0129686200034</v>
      </c>
    </row>
    <row r="112" spans="6:11" ht="20.25" hidden="1" x14ac:dyDescent="0.3">
      <c r="F112" s="42" t="s">
        <v>159</v>
      </c>
      <c r="G112" s="42"/>
      <c r="H112" s="544">
        <f>H105/(H110*H71)</f>
        <v>1.0446497169807178</v>
      </c>
      <c r="I112" s="544">
        <f t="shared" ref="I112:K112" si="7">I105/(I110*I71)</f>
        <v>1.0528094685054794</v>
      </c>
      <c r="J112" s="544">
        <f t="shared" si="7"/>
        <v>1.1267956473214289</v>
      </c>
      <c r="K112" s="544">
        <f t="shared" si="7"/>
        <v>1.2965783111345552</v>
      </c>
    </row>
    <row r="113" spans="6:11" ht="20.25" hidden="1" x14ac:dyDescent="0.3">
      <c r="F113" s="42" t="s">
        <v>160</v>
      </c>
      <c r="G113" s="42"/>
      <c r="H113" s="544">
        <f>H106/H110</f>
        <v>6.2986385787495296</v>
      </c>
      <c r="I113" s="544">
        <f>I106/I110</f>
        <v>11.837757147344671</v>
      </c>
      <c r="J113" s="544">
        <f>J106/J110</f>
        <v>14.618809267942298</v>
      </c>
      <c r="K113" s="544">
        <f>K106/K110</f>
        <v>22.708265648888421</v>
      </c>
    </row>
    <row r="114" spans="6:11" ht="20.25" hidden="1" x14ac:dyDescent="0.2">
      <c r="F114" s="42" t="s">
        <v>161</v>
      </c>
      <c r="G114" s="150">
        <f>G27+G31+G33+G27*0.21</f>
        <v>216908.68</v>
      </c>
      <c r="H114" s="150">
        <f t="shared" ref="H114:K114" si="8">H27+H31+H33+H27*0.21</f>
        <v>237890.76750000002</v>
      </c>
      <c r="I114" s="150">
        <f t="shared" si="8"/>
        <v>188101.25650000002</v>
      </c>
      <c r="J114" s="150">
        <f t="shared" si="8"/>
        <v>232210.04700000002</v>
      </c>
      <c r="K114" s="150">
        <f t="shared" si="8"/>
        <v>297009.18</v>
      </c>
    </row>
    <row r="115" spans="6:11" ht="20.25" hidden="1" x14ac:dyDescent="0.2">
      <c r="F115" s="42" t="s">
        <v>146</v>
      </c>
      <c r="G115" s="150">
        <f>G46-G114-G116</f>
        <v>105684.32</v>
      </c>
      <c r="H115" s="150">
        <f t="shared" ref="H115:K115" si="9">H46-H114-H116</f>
        <v>113098.97250000009</v>
      </c>
      <c r="I115" s="150">
        <f t="shared" si="9"/>
        <v>124320.71349999995</v>
      </c>
      <c r="J115" s="150">
        <f t="shared" si="9"/>
        <v>141209.50709999993</v>
      </c>
      <c r="K115" s="150">
        <f t="shared" si="9"/>
        <v>152149.614</v>
      </c>
    </row>
    <row r="116" spans="6:11" ht="20.25" hidden="1" x14ac:dyDescent="0.2">
      <c r="F116" s="42" t="s">
        <v>58</v>
      </c>
      <c r="G116" s="150">
        <f>G35</f>
        <v>25080</v>
      </c>
      <c r="H116" s="150">
        <f t="shared" ref="H116:K116" si="10">H35</f>
        <v>24029.68</v>
      </c>
      <c r="I116" s="150">
        <f t="shared" si="10"/>
        <v>31769</v>
      </c>
      <c r="J116" s="150">
        <f t="shared" si="10"/>
        <v>30384</v>
      </c>
      <c r="K116" s="150">
        <f t="shared" si="10"/>
        <v>31133</v>
      </c>
    </row>
  </sheetData>
  <mergeCells count="8">
    <mergeCell ref="D34:F34"/>
    <mergeCell ref="D51:F51"/>
    <mergeCell ref="D27:F27"/>
    <mergeCell ref="D28:F28"/>
    <mergeCell ref="D29:F29"/>
    <mergeCell ref="D31:F31"/>
    <mergeCell ref="D32:F32"/>
    <mergeCell ref="D33:F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88"/>
  <sheetViews>
    <sheetView topLeftCell="A55" zoomScale="80" zoomScaleNormal="80" workbookViewId="0">
      <selection activeCell="G79" sqref="G78:G79"/>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7.125" style="33" customWidth="1"/>
    <col min="7" max="7" width="22.375" customWidth="1"/>
    <col min="8" max="8" width="1.75" customWidth="1"/>
    <col min="9" max="9" width="22.25" customWidth="1"/>
    <col min="10" max="10" width="10" bestFit="1" customWidth="1"/>
    <col min="11" max="11" width="9" style="212"/>
    <col min="12" max="12" width="11.5" style="123" bestFit="1" customWidth="1"/>
    <col min="13" max="13" width="9" style="212"/>
    <col min="246" max="246" width="2.875" customWidth="1"/>
    <col min="247" max="247" width="8.125" customWidth="1"/>
    <col min="248" max="248" width="8.75" customWidth="1"/>
    <col min="249" max="249" width="11" customWidth="1"/>
    <col min="250" max="250" width="2.875" customWidth="1"/>
    <col min="251" max="251" width="77.625" customWidth="1"/>
    <col min="252" max="252" width="20.875" customWidth="1"/>
    <col min="502" max="502" width="2.875" customWidth="1"/>
    <col min="503" max="503" width="8.125" customWidth="1"/>
    <col min="504" max="504" width="8.75" customWidth="1"/>
    <col min="505" max="505" width="11" customWidth="1"/>
    <col min="506" max="506" width="2.875" customWidth="1"/>
    <col min="507" max="507" width="77.625" customWidth="1"/>
    <col min="508" max="508" width="20.875" customWidth="1"/>
    <col min="758" max="758" width="2.875" customWidth="1"/>
    <col min="759" max="759" width="8.125" customWidth="1"/>
    <col min="760" max="760" width="8.75" customWidth="1"/>
    <col min="761" max="761" width="11" customWidth="1"/>
    <col min="762" max="762" width="2.875" customWidth="1"/>
    <col min="763" max="763" width="77.625" customWidth="1"/>
    <col min="764" max="764" width="20.875" customWidth="1"/>
    <col min="1014" max="1014" width="2.875" customWidth="1"/>
    <col min="1015" max="1015" width="8.125" customWidth="1"/>
    <col min="1016" max="1016" width="8.75" customWidth="1"/>
    <col min="1017" max="1017" width="11" customWidth="1"/>
    <col min="1018" max="1018" width="2.875" customWidth="1"/>
    <col min="1019" max="1019" width="77.625" customWidth="1"/>
    <col min="1020" max="1020" width="20.875" customWidth="1"/>
    <col min="1270" max="1270" width="2.875" customWidth="1"/>
    <col min="1271" max="1271" width="8.125" customWidth="1"/>
    <col min="1272" max="1272" width="8.75" customWidth="1"/>
    <col min="1273" max="1273" width="11" customWidth="1"/>
    <col min="1274" max="1274" width="2.875" customWidth="1"/>
    <col min="1275" max="1275" width="77.625" customWidth="1"/>
    <col min="1276" max="1276" width="20.875" customWidth="1"/>
    <col min="1526" max="1526" width="2.875" customWidth="1"/>
    <col min="1527" max="1527" width="8.125" customWidth="1"/>
    <col min="1528" max="1528" width="8.75" customWidth="1"/>
    <col min="1529" max="1529" width="11" customWidth="1"/>
    <col min="1530" max="1530" width="2.875" customWidth="1"/>
    <col min="1531" max="1531" width="77.625" customWidth="1"/>
    <col min="1532" max="1532" width="20.875" customWidth="1"/>
    <col min="1782" max="1782" width="2.875" customWidth="1"/>
    <col min="1783" max="1783" width="8.125" customWidth="1"/>
    <col min="1784" max="1784" width="8.75" customWidth="1"/>
    <col min="1785" max="1785" width="11" customWidth="1"/>
    <col min="1786" max="1786" width="2.875" customWidth="1"/>
    <col min="1787" max="1787" width="77.625" customWidth="1"/>
    <col min="1788" max="1788" width="20.875" customWidth="1"/>
    <col min="2038" max="2038" width="2.875" customWidth="1"/>
    <col min="2039" max="2039" width="8.125" customWidth="1"/>
    <col min="2040" max="2040" width="8.75" customWidth="1"/>
    <col min="2041" max="2041" width="11" customWidth="1"/>
    <col min="2042" max="2042" width="2.875" customWidth="1"/>
    <col min="2043" max="2043" width="77.625" customWidth="1"/>
    <col min="2044" max="2044" width="20.875" customWidth="1"/>
    <col min="2294" max="2294" width="2.875" customWidth="1"/>
    <col min="2295" max="2295" width="8.125" customWidth="1"/>
    <col min="2296" max="2296" width="8.75" customWidth="1"/>
    <col min="2297" max="2297" width="11" customWidth="1"/>
    <col min="2298" max="2298" width="2.875" customWidth="1"/>
    <col min="2299" max="2299" width="77.625" customWidth="1"/>
    <col min="2300" max="2300" width="20.875" customWidth="1"/>
    <col min="2550" max="2550" width="2.875" customWidth="1"/>
    <col min="2551" max="2551" width="8.125" customWidth="1"/>
    <col min="2552" max="2552" width="8.75" customWidth="1"/>
    <col min="2553" max="2553" width="11" customWidth="1"/>
    <col min="2554" max="2554" width="2.875" customWidth="1"/>
    <col min="2555" max="2555" width="77.625" customWidth="1"/>
    <col min="2556" max="2556" width="20.875" customWidth="1"/>
    <col min="2806" max="2806" width="2.875" customWidth="1"/>
    <col min="2807" max="2807" width="8.125" customWidth="1"/>
    <col min="2808" max="2808" width="8.75" customWidth="1"/>
    <col min="2809" max="2809" width="11" customWidth="1"/>
    <col min="2810" max="2810" width="2.875" customWidth="1"/>
    <col min="2811" max="2811" width="77.625" customWidth="1"/>
    <col min="2812" max="2812" width="20.875" customWidth="1"/>
    <col min="3062" max="3062" width="2.875" customWidth="1"/>
    <col min="3063" max="3063" width="8.125" customWidth="1"/>
    <col min="3064" max="3064" width="8.75" customWidth="1"/>
    <col min="3065" max="3065" width="11" customWidth="1"/>
    <col min="3066" max="3066" width="2.875" customWidth="1"/>
    <col min="3067" max="3067" width="77.625" customWidth="1"/>
    <col min="3068" max="3068" width="20.875" customWidth="1"/>
    <col min="3318" max="3318" width="2.875" customWidth="1"/>
    <col min="3319" max="3319" width="8.125" customWidth="1"/>
    <col min="3320" max="3320" width="8.75" customWidth="1"/>
    <col min="3321" max="3321" width="11" customWidth="1"/>
    <col min="3322" max="3322" width="2.875" customWidth="1"/>
    <col min="3323" max="3323" width="77.625" customWidth="1"/>
    <col min="3324" max="3324" width="20.875" customWidth="1"/>
    <col min="3574" max="3574" width="2.875" customWidth="1"/>
    <col min="3575" max="3575" width="8.125" customWidth="1"/>
    <col min="3576" max="3576" width="8.75" customWidth="1"/>
    <col min="3577" max="3577" width="11" customWidth="1"/>
    <col min="3578" max="3578" width="2.875" customWidth="1"/>
    <col min="3579" max="3579" width="77.625" customWidth="1"/>
    <col min="3580" max="3580" width="20.875" customWidth="1"/>
    <col min="3830" max="3830" width="2.875" customWidth="1"/>
    <col min="3831" max="3831" width="8.125" customWidth="1"/>
    <col min="3832" max="3832" width="8.75" customWidth="1"/>
    <col min="3833" max="3833" width="11" customWidth="1"/>
    <col min="3834" max="3834" width="2.875" customWidth="1"/>
    <col min="3835" max="3835" width="77.625" customWidth="1"/>
    <col min="3836" max="3836" width="20.875" customWidth="1"/>
    <col min="4086" max="4086" width="2.875" customWidth="1"/>
    <col min="4087" max="4087" width="8.125" customWidth="1"/>
    <col min="4088" max="4088" width="8.75" customWidth="1"/>
    <col min="4089" max="4089" width="11" customWidth="1"/>
    <col min="4090" max="4090" width="2.875" customWidth="1"/>
    <col min="4091" max="4091" width="77.625" customWidth="1"/>
    <col min="4092" max="4092" width="20.875" customWidth="1"/>
    <col min="4342" max="4342" width="2.875" customWidth="1"/>
    <col min="4343" max="4343" width="8.125" customWidth="1"/>
    <col min="4344" max="4344" width="8.75" customWidth="1"/>
    <col min="4345" max="4345" width="11" customWidth="1"/>
    <col min="4346" max="4346" width="2.875" customWidth="1"/>
    <col min="4347" max="4347" width="77.625" customWidth="1"/>
    <col min="4348" max="4348" width="20.875" customWidth="1"/>
    <col min="4598" max="4598" width="2.875" customWidth="1"/>
    <col min="4599" max="4599" width="8.125" customWidth="1"/>
    <col min="4600" max="4600" width="8.75" customWidth="1"/>
    <col min="4601" max="4601" width="11" customWidth="1"/>
    <col min="4602" max="4602" width="2.875" customWidth="1"/>
    <col min="4603" max="4603" width="77.625" customWidth="1"/>
    <col min="4604" max="4604" width="20.875" customWidth="1"/>
    <col min="4854" max="4854" width="2.875" customWidth="1"/>
    <col min="4855" max="4855" width="8.125" customWidth="1"/>
    <col min="4856" max="4856" width="8.75" customWidth="1"/>
    <col min="4857" max="4857" width="11" customWidth="1"/>
    <col min="4858" max="4858" width="2.875" customWidth="1"/>
    <col min="4859" max="4859" width="77.625" customWidth="1"/>
    <col min="4860" max="4860" width="20.875" customWidth="1"/>
    <col min="5110" max="5110" width="2.875" customWidth="1"/>
    <col min="5111" max="5111" width="8.125" customWidth="1"/>
    <col min="5112" max="5112" width="8.75" customWidth="1"/>
    <col min="5113" max="5113" width="11" customWidth="1"/>
    <col min="5114" max="5114" width="2.875" customWidth="1"/>
    <col min="5115" max="5115" width="77.625" customWidth="1"/>
    <col min="5116" max="5116" width="20.875" customWidth="1"/>
    <col min="5366" max="5366" width="2.875" customWidth="1"/>
    <col min="5367" max="5367" width="8.125" customWidth="1"/>
    <col min="5368" max="5368" width="8.75" customWidth="1"/>
    <col min="5369" max="5369" width="11" customWidth="1"/>
    <col min="5370" max="5370" width="2.875" customWidth="1"/>
    <col min="5371" max="5371" width="77.625" customWidth="1"/>
    <col min="5372" max="5372" width="20.875" customWidth="1"/>
    <col min="5622" max="5622" width="2.875" customWidth="1"/>
    <col min="5623" max="5623" width="8.125" customWidth="1"/>
    <col min="5624" max="5624" width="8.75" customWidth="1"/>
    <col min="5625" max="5625" width="11" customWidth="1"/>
    <col min="5626" max="5626" width="2.875" customWidth="1"/>
    <col min="5627" max="5627" width="77.625" customWidth="1"/>
    <col min="5628" max="5628" width="20.875" customWidth="1"/>
    <col min="5878" max="5878" width="2.875" customWidth="1"/>
    <col min="5879" max="5879" width="8.125" customWidth="1"/>
    <col min="5880" max="5880" width="8.75" customWidth="1"/>
    <col min="5881" max="5881" width="11" customWidth="1"/>
    <col min="5882" max="5882" width="2.875" customWidth="1"/>
    <col min="5883" max="5883" width="77.625" customWidth="1"/>
    <col min="5884" max="5884" width="20.875" customWidth="1"/>
    <col min="6134" max="6134" width="2.875" customWidth="1"/>
    <col min="6135" max="6135" width="8.125" customWidth="1"/>
    <col min="6136" max="6136" width="8.75" customWidth="1"/>
    <col min="6137" max="6137" width="11" customWidth="1"/>
    <col min="6138" max="6138" width="2.875" customWidth="1"/>
    <col min="6139" max="6139" width="77.625" customWidth="1"/>
    <col min="6140" max="6140" width="20.875" customWidth="1"/>
    <col min="6390" max="6390" width="2.875" customWidth="1"/>
    <col min="6391" max="6391" width="8.125" customWidth="1"/>
    <col min="6392" max="6392" width="8.75" customWidth="1"/>
    <col min="6393" max="6393" width="11" customWidth="1"/>
    <col min="6394" max="6394" width="2.875" customWidth="1"/>
    <col min="6395" max="6395" width="77.625" customWidth="1"/>
    <col min="6396" max="6396" width="20.875" customWidth="1"/>
    <col min="6646" max="6646" width="2.875" customWidth="1"/>
    <col min="6647" max="6647" width="8.125" customWidth="1"/>
    <col min="6648" max="6648" width="8.75" customWidth="1"/>
    <col min="6649" max="6649" width="11" customWidth="1"/>
    <col min="6650" max="6650" width="2.875" customWidth="1"/>
    <col min="6651" max="6651" width="77.625" customWidth="1"/>
    <col min="6652" max="6652" width="20.875" customWidth="1"/>
    <col min="6902" max="6902" width="2.875" customWidth="1"/>
    <col min="6903" max="6903" width="8.125" customWidth="1"/>
    <col min="6904" max="6904" width="8.75" customWidth="1"/>
    <col min="6905" max="6905" width="11" customWidth="1"/>
    <col min="6906" max="6906" width="2.875" customWidth="1"/>
    <col min="6907" max="6907" width="77.625" customWidth="1"/>
    <col min="6908" max="6908" width="20.875" customWidth="1"/>
    <col min="7158" max="7158" width="2.875" customWidth="1"/>
    <col min="7159" max="7159" width="8.125" customWidth="1"/>
    <col min="7160" max="7160" width="8.75" customWidth="1"/>
    <col min="7161" max="7161" width="11" customWidth="1"/>
    <col min="7162" max="7162" width="2.875" customWidth="1"/>
    <col min="7163" max="7163" width="77.625" customWidth="1"/>
    <col min="7164" max="7164" width="20.875" customWidth="1"/>
    <col min="7414" max="7414" width="2.875" customWidth="1"/>
    <col min="7415" max="7415" width="8.125" customWidth="1"/>
    <col min="7416" max="7416" width="8.75" customWidth="1"/>
    <col min="7417" max="7417" width="11" customWidth="1"/>
    <col min="7418" max="7418" width="2.875" customWidth="1"/>
    <col min="7419" max="7419" width="77.625" customWidth="1"/>
    <col min="7420" max="7420" width="20.875" customWidth="1"/>
    <col min="7670" max="7670" width="2.875" customWidth="1"/>
    <col min="7671" max="7671" width="8.125" customWidth="1"/>
    <col min="7672" max="7672" width="8.75" customWidth="1"/>
    <col min="7673" max="7673" width="11" customWidth="1"/>
    <col min="7674" max="7674" width="2.875" customWidth="1"/>
    <col min="7675" max="7675" width="77.625" customWidth="1"/>
    <col min="7676" max="7676" width="20.875" customWidth="1"/>
    <col min="7926" max="7926" width="2.875" customWidth="1"/>
    <col min="7927" max="7927" width="8.125" customWidth="1"/>
    <col min="7928" max="7928" width="8.75" customWidth="1"/>
    <col min="7929" max="7929" width="11" customWidth="1"/>
    <col min="7930" max="7930" width="2.875" customWidth="1"/>
    <col min="7931" max="7931" width="77.625" customWidth="1"/>
    <col min="7932" max="7932" width="20.875" customWidth="1"/>
    <col min="8182" max="8182" width="2.875" customWidth="1"/>
    <col min="8183" max="8183" width="8.125" customWidth="1"/>
    <col min="8184" max="8184" width="8.75" customWidth="1"/>
    <col min="8185" max="8185" width="11" customWidth="1"/>
    <col min="8186" max="8186" width="2.875" customWidth="1"/>
    <col min="8187" max="8187" width="77.625" customWidth="1"/>
    <col min="8188" max="8188" width="20.875" customWidth="1"/>
    <col min="8438" max="8438" width="2.875" customWidth="1"/>
    <col min="8439" max="8439" width="8.125" customWidth="1"/>
    <col min="8440" max="8440" width="8.75" customWidth="1"/>
    <col min="8441" max="8441" width="11" customWidth="1"/>
    <col min="8442" max="8442" width="2.875" customWidth="1"/>
    <col min="8443" max="8443" width="77.625" customWidth="1"/>
    <col min="8444" max="8444" width="20.875" customWidth="1"/>
    <col min="8694" max="8694" width="2.875" customWidth="1"/>
    <col min="8695" max="8695" width="8.125" customWidth="1"/>
    <col min="8696" max="8696" width="8.75" customWidth="1"/>
    <col min="8697" max="8697" width="11" customWidth="1"/>
    <col min="8698" max="8698" width="2.875" customWidth="1"/>
    <col min="8699" max="8699" width="77.625" customWidth="1"/>
    <col min="8700" max="8700" width="20.875" customWidth="1"/>
    <col min="8950" max="8950" width="2.875" customWidth="1"/>
    <col min="8951" max="8951" width="8.125" customWidth="1"/>
    <col min="8952" max="8952" width="8.75" customWidth="1"/>
    <col min="8953" max="8953" width="11" customWidth="1"/>
    <col min="8954" max="8954" width="2.875" customWidth="1"/>
    <col min="8955" max="8955" width="77.625" customWidth="1"/>
    <col min="8956" max="8956" width="20.875" customWidth="1"/>
    <col min="9206" max="9206" width="2.875" customWidth="1"/>
    <col min="9207" max="9207" width="8.125" customWidth="1"/>
    <col min="9208" max="9208" width="8.75" customWidth="1"/>
    <col min="9209" max="9209" width="11" customWidth="1"/>
    <col min="9210" max="9210" width="2.875" customWidth="1"/>
    <col min="9211" max="9211" width="77.625" customWidth="1"/>
    <col min="9212" max="9212" width="20.875" customWidth="1"/>
    <col min="9462" max="9462" width="2.875" customWidth="1"/>
    <col min="9463" max="9463" width="8.125" customWidth="1"/>
    <col min="9464" max="9464" width="8.75" customWidth="1"/>
    <col min="9465" max="9465" width="11" customWidth="1"/>
    <col min="9466" max="9466" width="2.875" customWidth="1"/>
    <col min="9467" max="9467" width="77.625" customWidth="1"/>
    <col min="9468" max="9468" width="20.875" customWidth="1"/>
    <col min="9718" max="9718" width="2.875" customWidth="1"/>
    <col min="9719" max="9719" width="8.125" customWidth="1"/>
    <col min="9720" max="9720" width="8.75" customWidth="1"/>
    <col min="9721" max="9721" width="11" customWidth="1"/>
    <col min="9722" max="9722" width="2.875" customWidth="1"/>
    <col min="9723" max="9723" width="77.625" customWidth="1"/>
    <col min="9724" max="9724" width="20.875" customWidth="1"/>
    <col min="9974" max="9974" width="2.875" customWidth="1"/>
    <col min="9975" max="9975" width="8.125" customWidth="1"/>
    <col min="9976" max="9976" width="8.75" customWidth="1"/>
    <col min="9977" max="9977" width="11" customWidth="1"/>
    <col min="9978" max="9978" width="2.875" customWidth="1"/>
    <col min="9979" max="9979" width="77.625" customWidth="1"/>
    <col min="9980" max="9980" width="20.875" customWidth="1"/>
    <col min="10230" max="10230" width="2.875" customWidth="1"/>
    <col min="10231" max="10231" width="8.125" customWidth="1"/>
    <col min="10232" max="10232" width="8.75" customWidth="1"/>
    <col min="10233" max="10233" width="11" customWidth="1"/>
    <col min="10234" max="10234" width="2.875" customWidth="1"/>
    <col min="10235" max="10235" width="77.625" customWidth="1"/>
    <col min="10236" max="10236" width="20.875" customWidth="1"/>
    <col min="10486" max="10486" width="2.875" customWidth="1"/>
    <col min="10487" max="10487" width="8.125" customWidth="1"/>
    <col min="10488" max="10488" width="8.75" customWidth="1"/>
    <col min="10489" max="10489" width="11" customWidth="1"/>
    <col min="10490" max="10490" width="2.875" customWidth="1"/>
    <col min="10491" max="10491" width="77.625" customWidth="1"/>
    <col min="10492" max="10492" width="20.875" customWidth="1"/>
    <col min="10742" max="10742" width="2.875" customWidth="1"/>
    <col min="10743" max="10743" width="8.125" customWidth="1"/>
    <col min="10744" max="10744" width="8.75" customWidth="1"/>
    <col min="10745" max="10745" width="11" customWidth="1"/>
    <col min="10746" max="10746" width="2.875" customWidth="1"/>
    <col min="10747" max="10747" width="77.625" customWidth="1"/>
    <col min="10748" max="10748" width="20.875" customWidth="1"/>
    <col min="10998" max="10998" width="2.875" customWidth="1"/>
    <col min="10999" max="10999" width="8.125" customWidth="1"/>
    <col min="11000" max="11000" width="8.75" customWidth="1"/>
    <col min="11001" max="11001" width="11" customWidth="1"/>
    <col min="11002" max="11002" width="2.875" customWidth="1"/>
    <col min="11003" max="11003" width="77.625" customWidth="1"/>
    <col min="11004" max="11004" width="20.875" customWidth="1"/>
    <col min="11254" max="11254" width="2.875" customWidth="1"/>
    <col min="11255" max="11255" width="8.125" customWidth="1"/>
    <col min="11256" max="11256" width="8.75" customWidth="1"/>
    <col min="11257" max="11257" width="11" customWidth="1"/>
    <col min="11258" max="11258" width="2.875" customWidth="1"/>
    <col min="11259" max="11259" width="77.625" customWidth="1"/>
    <col min="11260" max="11260" width="20.875" customWidth="1"/>
    <col min="11510" max="11510" width="2.875" customWidth="1"/>
    <col min="11511" max="11511" width="8.125" customWidth="1"/>
    <col min="11512" max="11512" width="8.75" customWidth="1"/>
    <col min="11513" max="11513" width="11" customWidth="1"/>
    <col min="11514" max="11514" width="2.875" customWidth="1"/>
    <col min="11515" max="11515" width="77.625" customWidth="1"/>
    <col min="11516" max="11516" width="20.875" customWidth="1"/>
    <col min="11766" max="11766" width="2.875" customWidth="1"/>
    <col min="11767" max="11767" width="8.125" customWidth="1"/>
    <col min="11768" max="11768" width="8.75" customWidth="1"/>
    <col min="11769" max="11769" width="11" customWidth="1"/>
    <col min="11770" max="11770" width="2.875" customWidth="1"/>
    <col min="11771" max="11771" width="77.625" customWidth="1"/>
    <col min="11772" max="11772" width="20.875" customWidth="1"/>
    <col min="12022" max="12022" width="2.875" customWidth="1"/>
    <col min="12023" max="12023" width="8.125" customWidth="1"/>
    <col min="12024" max="12024" width="8.75" customWidth="1"/>
    <col min="12025" max="12025" width="11" customWidth="1"/>
    <col min="12026" max="12026" width="2.875" customWidth="1"/>
    <col min="12027" max="12027" width="77.625" customWidth="1"/>
    <col min="12028" max="12028" width="20.875" customWidth="1"/>
    <col min="12278" max="12278" width="2.875" customWidth="1"/>
    <col min="12279" max="12279" width="8.125" customWidth="1"/>
    <col min="12280" max="12280" width="8.75" customWidth="1"/>
    <col min="12281" max="12281" width="11" customWidth="1"/>
    <col min="12282" max="12282" width="2.875" customWidth="1"/>
    <col min="12283" max="12283" width="77.625" customWidth="1"/>
    <col min="12284" max="12284" width="20.875" customWidth="1"/>
    <col min="12534" max="12534" width="2.875" customWidth="1"/>
    <col min="12535" max="12535" width="8.125" customWidth="1"/>
    <col min="12536" max="12536" width="8.75" customWidth="1"/>
    <col min="12537" max="12537" width="11" customWidth="1"/>
    <col min="12538" max="12538" width="2.875" customWidth="1"/>
    <col min="12539" max="12539" width="77.625" customWidth="1"/>
    <col min="12540" max="12540" width="20.875" customWidth="1"/>
    <col min="12790" max="12790" width="2.875" customWidth="1"/>
    <col min="12791" max="12791" width="8.125" customWidth="1"/>
    <col min="12792" max="12792" width="8.75" customWidth="1"/>
    <col min="12793" max="12793" width="11" customWidth="1"/>
    <col min="12794" max="12794" width="2.875" customWidth="1"/>
    <col min="12795" max="12795" width="77.625" customWidth="1"/>
    <col min="12796" max="12796" width="20.875" customWidth="1"/>
    <col min="13046" max="13046" width="2.875" customWidth="1"/>
    <col min="13047" max="13047" width="8.125" customWidth="1"/>
    <col min="13048" max="13048" width="8.75" customWidth="1"/>
    <col min="13049" max="13049" width="11" customWidth="1"/>
    <col min="13050" max="13050" width="2.875" customWidth="1"/>
    <col min="13051" max="13051" width="77.625" customWidth="1"/>
    <col min="13052" max="13052" width="20.875" customWidth="1"/>
    <col min="13302" max="13302" width="2.875" customWidth="1"/>
    <col min="13303" max="13303" width="8.125" customWidth="1"/>
    <col min="13304" max="13304" width="8.75" customWidth="1"/>
    <col min="13305" max="13305" width="11" customWidth="1"/>
    <col min="13306" max="13306" width="2.875" customWidth="1"/>
    <col min="13307" max="13307" width="77.625" customWidth="1"/>
    <col min="13308" max="13308" width="20.875" customWidth="1"/>
    <col min="13558" max="13558" width="2.875" customWidth="1"/>
    <col min="13559" max="13559" width="8.125" customWidth="1"/>
    <col min="13560" max="13560" width="8.75" customWidth="1"/>
    <col min="13561" max="13561" width="11" customWidth="1"/>
    <col min="13562" max="13562" width="2.875" customWidth="1"/>
    <col min="13563" max="13563" width="77.625" customWidth="1"/>
    <col min="13564" max="13564" width="20.875" customWidth="1"/>
    <col min="13814" max="13814" width="2.875" customWidth="1"/>
    <col min="13815" max="13815" width="8.125" customWidth="1"/>
    <col min="13816" max="13816" width="8.75" customWidth="1"/>
    <col min="13817" max="13817" width="11" customWidth="1"/>
    <col min="13818" max="13818" width="2.875" customWidth="1"/>
    <col min="13819" max="13819" width="77.625" customWidth="1"/>
    <col min="13820" max="13820" width="20.875" customWidth="1"/>
    <col min="14070" max="14070" width="2.875" customWidth="1"/>
    <col min="14071" max="14071" width="8.125" customWidth="1"/>
    <col min="14072" max="14072" width="8.75" customWidth="1"/>
    <col min="14073" max="14073" width="11" customWidth="1"/>
    <col min="14074" max="14074" width="2.875" customWidth="1"/>
    <col min="14075" max="14075" width="77.625" customWidth="1"/>
    <col min="14076" max="14076" width="20.875" customWidth="1"/>
    <col min="14326" max="14326" width="2.875" customWidth="1"/>
    <col min="14327" max="14327" width="8.125" customWidth="1"/>
    <col min="14328" max="14328" width="8.75" customWidth="1"/>
    <col min="14329" max="14329" width="11" customWidth="1"/>
    <col min="14330" max="14330" width="2.875" customWidth="1"/>
    <col min="14331" max="14331" width="77.625" customWidth="1"/>
    <col min="14332" max="14332" width="20.875" customWidth="1"/>
    <col min="14582" max="14582" width="2.875" customWidth="1"/>
    <col min="14583" max="14583" width="8.125" customWidth="1"/>
    <col min="14584" max="14584" width="8.75" customWidth="1"/>
    <col min="14585" max="14585" width="11" customWidth="1"/>
    <col min="14586" max="14586" width="2.875" customWidth="1"/>
    <col min="14587" max="14587" width="77.625" customWidth="1"/>
    <col min="14588" max="14588" width="20.875" customWidth="1"/>
    <col min="14838" max="14838" width="2.875" customWidth="1"/>
    <col min="14839" max="14839" width="8.125" customWidth="1"/>
    <col min="14840" max="14840" width="8.75" customWidth="1"/>
    <col min="14841" max="14841" width="11" customWidth="1"/>
    <col min="14842" max="14842" width="2.875" customWidth="1"/>
    <col min="14843" max="14843" width="77.625" customWidth="1"/>
    <col min="14844" max="14844" width="20.875" customWidth="1"/>
    <col min="15094" max="15094" width="2.875" customWidth="1"/>
    <col min="15095" max="15095" width="8.125" customWidth="1"/>
    <col min="15096" max="15096" width="8.75" customWidth="1"/>
    <col min="15097" max="15097" width="11" customWidth="1"/>
    <col min="15098" max="15098" width="2.875" customWidth="1"/>
    <col min="15099" max="15099" width="77.625" customWidth="1"/>
    <col min="15100" max="15100" width="20.875" customWidth="1"/>
    <col min="15350" max="15350" width="2.875" customWidth="1"/>
    <col min="15351" max="15351" width="8.125" customWidth="1"/>
    <col min="15352" max="15352" width="8.75" customWidth="1"/>
    <col min="15353" max="15353" width="11" customWidth="1"/>
    <col min="15354" max="15354" width="2.875" customWidth="1"/>
    <col min="15355" max="15355" width="77.625" customWidth="1"/>
    <col min="15356" max="15356" width="20.875" customWidth="1"/>
    <col min="15606" max="15606" width="2.875" customWidth="1"/>
    <col min="15607" max="15607" width="8.125" customWidth="1"/>
    <col min="15608" max="15608" width="8.75" customWidth="1"/>
    <col min="15609" max="15609" width="11" customWidth="1"/>
    <col min="15610" max="15610" width="2.875" customWidth="1"/>
    <col min="15611" max="15611" width="77.625" customWidth="1"/>
    <col min="15612" max="15612" width="20.875" customWidth="1"/>
    <col min="15862" max="15862" width="2.875" customWidth="1"/>
    <col min="15863" max="15863" width="8.125" customWidth="1"/>
    <col min="15864" max="15864" width="8.75" customWidth="1"/>
    <col min="15865" max="15865" width="11" customWidth="1"/>
    <col min="15866" max="15866" width="2.875" customWidth="1"/>
    <col min="15867" max="15867" width="77.625" customWidth="1"/>
    <col min="15868" max="15868" width="20.875" customWidth="1"/>
    <col min="16118" max="16118" width="2.875" customWidth="1"/>
    <col min="16119" max="16119" width="8.125" customWidth="1"/>
    <col min="16120" max="16120" width="8.75" customWidth="1"/>
    <col min="16121" max="16121" width="11" customWidth="1"/>
    <col min="16122" max="16122" width="2.875" customWidth="1"/>
    <col min="16123" max="16123" width="77.625" customWidth="1"/>
    <col min="16124" max="16124" width="20.875" customWidth="1"/>
  </cols>
  <sheetData>
    <row r="1" spans="1:9" ht="22.5" customHeight="1" x14ac:dyDescent="0.4">
      <c r="A1" s="34" t="s">
        <v>0</v>
      </c>
      <c r="B1" s="35"/>
      <c r="C1" s="36"/>
      <c r="D1" s="36"/>
      <c r="E1" s="36"/>
      <c r="F1" s="35"/>
      <c r="G1" s="35"/>
      <c r="H1" s="35"/>
      <c r="I1" s="35"/>
    </row>
    <row r="2" spans="1:9" ht="22.5" customHeight="1" x14ac:dyDescent="0.4">
      <c r="A2" s="34" t="s">
        <v>64</v>
      </c>
      <c r="B2" s="35"/>
      <c r="C2" s="36"/>
      <c r="D2" s="36"/>
      <c r="E2" s="36"/>
      <c r="F2" s="35"/>
      <c r="G2" s="35"/>
      <c r="H2" s="35"/>
      <c r="I2" s="35"/>
    </row>
    <row r="3" spans="1:9" ht="22.5" customHeight="1" x14ac:dyDescent="0.4">
      <c r="A3" s="34" t="s">
        <v>65</v>
      </c>
      <c r="B3" s="35"/>
      <c r="C3" s="36"/>
      <c r="D3" s="36"/>
      <c r="E3" s="36"/>
      <c r="F3" s="35"/>
      <c r="G3" s="35"/>
      <c r="H3" s="35"/>
      <c r="I3" s="35"/>
    </row>
    <row r="4" spans="1:9" s="38" customFormat="1" ht="8.25" customHeight="1" x14ac:dyDescent="0.2">
      <c r="A4" s="37"/>
      <c r="B4" s="37"/>
      <c r="C4" s="37"/>
      <c r="D4" s="37"/>
      <c r="E4" s="37"/>
      <c r="F4" s="37"/>
    </row>
    <row r="5" spans="1:9" s="43" customFormat="1" ht="8.25" customHeight="1" thickBot="1" x14ac:dyDescent="0.25">
      <c r="A5" s="42"/>
      <c r="B5" s="42"/>
      <c r="C5" s="42"/>
      <c r="D5" s="42"/>
      <c r="E5" s="42"/>
      <c r="F5" s="42"/>
    </row>
    <row r="6" spans="1:9" s="43" customFormat="1" ht="48" customHeight="1" thickBot="1" x14ac:dyDescent="0.25">
      <c r="A6" s="42"/>
      <c r="B6" s="516" t="s">
        <v>7</v>
      </c>
      <c r="C6" s="516"/>
      <c r="D6" s="516"/>
      <c r="E6" s="516"/>
      <c r="F6" s="516"/>
      <c r="G6" s="517" t="s">
        <v>66</v>
      </c>
      <c r="H6" s="517"/>
      <c r="I6" s="517" t="s">
        <v>67</v>
      </c>
    </row>
    <row r="7" spans="1:9" s="43" customFormat="1" ht="20.25" x14ac:dyDescent="0.2">
      <c r="A7" s="42"/>
      <c r="B7" s="42"/>
      <c r="C7" s="46" t="s">
        <v>13</v>
      </c>
      <c r="D7" s="46"/>
      <c r="E7" s="46"/>
      <c r="F7" s="42"/>
      <c r="G7" s="159">
        <v>768013</v>
      </c>
      <c r="H7" s="159"/>
      <c r="I7" s="159">
        <v>795100</v>
      </c>
    </row>
    <row r="8" spans="1:9" s="43" customFormat="1" ht="20.25" x14ac:dyDescent="0.2">
      <c r="A8" s="42"/>
      <c r="B8" s="42"/>
      <c r="C8" s="46" t="s">
        <v>14</v>
      </c>
      <c r="D8" s="46"/>
      <c r="E8" s="46"/>
      <c r="F8" s="42"/>
      <c r="G8" s="150">
        <v>92000</v>
      </c>
      <c r="H8" s="150"/>
      <c r="I8" s="150">
        <v>88160</v>
      </c>
    </row>
    <row r="9" spans="1:9" s="43" customFormat="1" ht="20.25" x14ac:dyDescent="0.2">
      <c r="A9" s="42"/>
      <c r="B9" s="42"/>
      <c r="C9" s="46" t="s">
        <v>15</v>
      </c>
      <c r="D9" s="46"/>
      <c r="E9" s="46"/>
      <c r="F9" s="42"/>
      <c r="G9" s="150">
        <v>42167</v>
      </c>
      <c r="H9" s="150"/>
      <c r="I9" s="150">
        <v>32100</v>
      </c>
    </row>
    <row r="10" spans="1:9" s="43" customFormat="1" ht="20.25" x14ac:dyDescent="0.2">
      <c r="A10" s="42"/>
      <c r="B10" s="42"/>
      <c r="C10" s="46" t="s">
        <v>16</v>
      </c>
      <c r="D10" s="46"/>
      <c r="E10" s="46"/>
      <c r="F10" s="42"/>
      <c r="G10" s="150">
        <v>0</v>
      </c>
      <c r="H10" s="150"/>
      <c r="I10" s="150"/>
    </row>
    <row r="11" spans="1:9" s="43" customFormat="1" ht="20.25" x14ac:dyDescent="0.2">
      <c r="A11" s="42"/>
      <c r="B11" s="42"/>
      <c r="D11" s="46" t="s">
        <v>17</v>
      </c>
      <c r="E11" s="46"/>
      <c r="F11" s="42"/>
      <c r="G11" s="150">
        <f>148159+47500+3687</f>
        <v>199346</v>
      </c>
      <c r="H11" s="150"/>
      <c r="I11" s="150">
        <v>204910</v>
      </c>
    </row>
    <row r="12" spans="1:9" s="43" customFormat="1" ht="20.25" x14ac:dyDescent="0.2">
      <c r="A12" s="42"/>
      <c r="B12" s="42"/>
      <c r="D12" s="46" t="s">
        <v>18</v>
      </c>
      <c r="E12" s="46"/>
      <c r="F12" s="42"/>
      <c r="G12" s="150">
        <v>18000</v>
      </c>
      <c r="H12" s="150"/>
      <c r="I12" s="150">
        <v>18000</v>
      </c>
    </row>
    <row r="13" spans="1:9" s="43" customFormat="1" ht="20.25" x14ac:dyDescent="0.2">
      <c r="A13" s="42"/>
      <c r="B13" s="42"/>
      <c r="C13" s="46"/>
      <c r="D13" s="46" t="s">
        <v>19</v>
      </c>
      <c r="E13" s="46"/>
      <c r="F13" s="42"/>
      <c r="G13" s="150">
        <v>30439</v>
      </c>
      <c r="H13" s="150"/>
      <c r="I13" s="150">
        <v>265600</v>
      </c>
    </row>
    <row r="14" spans="1:9" s="43" customFormat="1" ht="20.25" x14ac:dyDescent="0.2">
      <c r="A14" s="42"/>
      <c r="B14" s="42"/>
      <c r="C14" s="46" t="s">
        <v>20</v>
      </c>
      <c r="D14" s="46"/>
      <c r="E14" s="46"/>
      <c r="F14" s="42"/>
      <c r="G14" s="150">
        <v>20000</v>
      </c>
      <c r="H14" s="150"/>
      <c r="I14" s="150">
        <v>17600</v>
      </c>
    </row>
    <row r="15" spans="1:9" s="43" customFormat="1" ht="20.25" x14ac:dyDescent="0.2">
      <c r="A15" s="42"/>
      <c r="B15" s="42"/>
      <c r="C15" s="46" t="s">
        <v>21</v>
      </c>
      <c r="D15" s="46"/>
      <c r="E15" s="46"/>
      <c r="F15" s="42"/>
      <c r="G15" s="150">
        <v>684</v>
      </c>
      <c r="H15" s="150"/>
      <c r="I15" s="150">
        <v>420</v>
      </c>
    </row>
    <row r="16" spans="1:9" s="43" customFormat="1" ht="20.25" x14ac:dyDescent="0.2">
      <c r="A16" s="42"/>
      <c r="B16" s="42"/>
      <c r="C16" s="46" t="s">
        <v>22</v>
      </c>
      <c r="D16" s="46"/>
      <c r="E16" s="46"/>
      <c r="F16" s="42"/>
      <c r="G16" s="150">
        <v>1200</v>
      </c>
      <c r="H16" s="150"/>
      <c r="I16" s="150">
        <v>1000</v>
      </c>
    </row>
    <row r="17" spans="2:9" s="43" customFormat="1" ht="20.25" x14ac:dyDescent="0.2">
      <c r="B17" s="42"/>
      <c r="C17" s="525" t="s">
        <v>23</v>
      </c>
      <c r="D17" s="525"/>
      <c r="E17" s="525"/>
      <c r="F17" s="526"/>
      <c r="G17" s="150">
        <v>-3000</v>
      </c>
      <c r="H17" s="150"/>
      <c r="I17" s="515">
        <v>-48000</v>
      </c>
    </row>
    <row r="18" spans="2:9" s="43" customFormat="1" ht="20.25" x14ac:dyDescent="0.2">
      <c r="B18" s="42"/>
      <c r="C18" s="46" t="s">
        <v>24</v>
      </c>
      <c r="D18" s="46"/>
      <c r="E18" s="46"/>
      <c r="F18" s="42"/>
      <c r="G18" s="150">
        <v>282538</v>
      </c>
      <c r="H18" s="150"/>
      <c r="I18" s="150">
        <v>159000</v>
      </c>
    </row>
    <row r="19" spans="2:9" s="43" customFormat="1" ht="20.25" x14ac:dyDescent="0.2">
      <c r="B19" s="42"/>
      <c r="C19" s="46" t="s">
        <v>29</v>
      </c>
      <c r="D19" s="475"/>
      <c r="E19" s="475"/>
      <c r="F19" s="475"/>
      <c r="G19" s="150">
        <v>52740</v>
      </c>
      <c r="H19" s="150"/>
      <c r="I19" s="150">
        <v>52740</v>
      </c>
    </row>
    <row r="20" spans="2:9" s="43" customFormat="1" ht="20.25" x14ac:dyDescent="0.2">
      <c r="B20" s="42"/>
      <c r="C20" s="46" t="s">
        <v>30</v>
      </c>
      <c r="D20" s="475"/>
      <c r="E20" s="475"/>
      <c r="F20" s="475"/>
      <c r="G20" s="150">
        <v>10250</v>
      </c>
      <c r="H20" s="150"/>
      <c r="I20" s="150">
        <v>31710</v>
      </c>
    </row>
    <row r="21" spans="2:9" s="43" customFormat="1" ht="20.25" x14ac:dyDescent="0.2">
      <c r="B21" s="42"/>
      <c r="C21" s="46" t="s">
        <v>16</v>
      </c>
      <c r="D21" s="475"/>
      <c r="E21" s="475"/>
      <c r="F21" s="475"/>
      <c r="G21" s="150">
        <v>20000</v>
      </c>
      <c r="H21" s="150"/>
      <c r="I21" s="150">
        <v>20000</v>
      </c>
    </row>
    <row r="22" spans="2:9" s="43" customFormat="1" ht="20.25" x14ac:dyDescent="0.2">
      <c r="B22" s="42"/>
      <c r="C22" s="46" t="s">
        <v>31</v>
      </c>
      <c r="D22" s="475"/>
      <c r="E22" s="475"/>
      <c r="F22" s="475"/>
      <c r="G22" s="150">
        <v>52000</v>
      </c>
      <c r="H22" s="150"/>
      <c r="I22" s="150">
        <v>62400</v>
      </c>
    </row>
    <row r="23" spans="2:9" s="43" customFormat="1" ht="20.25" x14ac:dyDescent="0.2">
      <c r="B23" s="42"/>
      <c r="C23" s="46" t="s">
        <v>32</v>
      </c>
      <c r="D23" s="475"/>
      <c r="E23" s="475"/>
      <c r="F23" s="475"/>
      <c r="G23" s="150">
        <v>18537</v>
      </c>
      <c r="H23" s="150"/>
      <c r="I23" s="150">
        <v>18600</v>
      </c>
    </row>
    <row r="24" spans="2:9" s="43" customFormat="1" ht="20.25" x14ac:dyDescent="0.2">
      <c r="B24" s="42"/>
      <c r="C24" s="46"/>
      <c r="D24" s="42" t="s">
        <v>33</v>
      </c>
      <c r="E24" s="46"/>
      <c r="F24" s="42"/>
      <c r="G24" s="158">
        <f>SUM(G7:G23)</f>
        <v>1604914</v>
      </c>
      <c r="H24" s="158"/>
      <c r="I24" s="158">
        <f>SUM(I7:I23)</f>
        <v>1719340</v>
      </c>
    </row>
    <row r="25" spans="2:9" s="43" customFormat="1" ht="21" thickBot="1" x14ac:dyDescent="0.25">
      <c r="B25" s="42"/>
      <c r="C25" s="46"/>
      <c r="D25" s="42"/>
      <c r="E25" s="46"/>
      <c r="F25" s="42"/>
      <c r="G25" s="150"/>
      <c r="H25" s="150"/>
      <c r="I25" s="150"/>
    </row>
    <row r="26" spans="2:9" s="43" customFormat="1" ht="54.75" thickBot="1" x14ac:dyDescent="0.25">
      <c r="B26" s="516" t="s">
        <v>34</v>
      </c>
      <c r="C26" s="516"/>
      <c r="D26" s="516"/>
      <c r="E26" s="516"/>
      <c r="F26" s="516"/>
      <c r="G26" s="517" t="s">
        <v>66</v>
      </c>
      <c r="H26" s="517"/>
      <c r="I26" s="517" t="s">
        <v>67</v>
      </c>
    </row>
    <row r="27" spans="2:9" s="43" customFormat="1" ht="20.25" x14ac:dyDescent="0.2">
      <c r="B27" s="42"/>
      <c r="C27" s="46" t="s">
        <v>35</v>
      </c>
      <c r="D27" s="46"/>
      <c r="E27" s="46"/>
      <c r="F27" s="46"/>
      <c r="G27" s="150">
        <v>1121855</v>
      </c>
      <c r="H27" s="150"/>
      <c r="I27" s="150">
        <v>994800</v>
      </c>
    </row>
    <row r="28" spans="2:9" s="43" customFormat="1" ht="20.25" x14ac:dyDescent="0.2">
      <c r="B28" s="42"/>
      <c r="C28" s="46" t="s">
        <v>36</v>
      </c>
      <c r="D28" s="46"/>
      <c r="E28" s="46"/>
      <c r="F28" s="46"/>
      <c r="G28" s="150">
        <v>256895</v>
      </c>
      <c r="H28" s="150"/>
      <c r="I28" s="150">
        <f>199118+20000</f>
        <v>219118</v>
      </c>
    </row>
    <row r="29" spans="2:9" s="43" customFormat="1" ht="20.25" x14ac:dyDescent="0.2">
      <c r="B29" s="42"/>
      <c r="C29" s="46" t="s">
        <v>37</v>
      </c>
      <c r="D29" s="46"/>
      <c r="E29" s="46"/>
      <c r="F29" s="46"/>
      <c r="G29" s="150">
        <v>1800</v>
      </c>
      <c r="H29" s="150"/>
      <c r="I29" s="150">
        <v>1800</v>
      </c>
    </row>
    <row r="30" spans="2:9" s="43" customFormat="1" ht="20.25" x14ac:dyDescent="0.2">
      <c r="B30" s="42"/>
      <c r="C30" s="46" t="s">
        <v>38</v>
      </c>
      <c r="D30" s="46"/>
      <c r="E30" s="46"/>
      <c r="F30" s="46"/>
      <c r="G30" s="150">
        <v>52740</v>
      </c>
      <c r="H30" s="150"/>
      <c r="I30" s="150">
        <v>52740</v>
      </c>
    </row>
    <row r="31" spans="2:9" s="43" customFormat="1" ht="20.25" x14ac:dyDescent="0.2">
      <c r="B31" s="42"/>
      <c r="C31" s="46" t="s">
        <v>39</v>
      </c>
      <c r="D31" s="46"/>
      <c r="E31" s="46"/>
      <c r="F31" s="46"/>
      <c r="G31" s="150">
        <v>22940</v>
      </c>
      <c r="H31" s="150"/>
      <c r="I31" s="150">
        <v>21250</v>
      </c>
    </row>
    <row r="32" spans="2:9" s="43" customFormat="1" ht="20.25" x14ac:dyDescent="0.2">
      <c r="B32" s="42"/>
      <c r="C32" s="46" t="s">
        <v>40</v>
      </c>
      <c r="D32" s="46"/>
      <c r="E32" s="46"/>
      <c r="F32" s="46"/>
      <c r="G32" s="150">
        <v>2385</v>
      </c>
      <c r="H32" s="150"/>
      <c r="I32" s="150">
        <v>2520</v>
      </c>
    </row>
    <row r="33" spans="2:9" s="43" customFormat="1" ht="20.25" x14ac:dyDescent="0.2">
      <c r="B33" s="42"/>
      <c r="C33" s="46" t="s">
        <v>41</v>
      </c>
      <c r="D33" s="46"/>
      <c r="E33" s="46"/>
      <c r="F33" s="46"/>
      <c r="G33" s="150">
        <v>4620</v>
      </c>
      <c r="H33" s="150"/>
      <c r="I33" s="150">
        <v>3720</v>
      </c>
    </row>
    <row r="34" spans="2:9" s="43" customFormat="1" ht="20.25" x14ac:dyDescent="0.2">
      <c r="B34" s="42"/>
      <c r="C34" s="46" t="s">
        <v>42</v>
      </c>
      <c r="D34" s="46"/>
      <c r="E34" s="46"/>
      <c r="F34" s="46"/>
      <c r="G34" s="150">
        <v>13333</v>
      </c>
      <c r="H34" s="150"/>
      <c r="I34" s="150">
        <v>11230</v>
      </c>
    </row>
    <row r="35" spans="2:9" s="43" customFormat="1" ht="20.25" x14ac:dyDescent="0.2">
      <c r="B35" s="42"/>
      <c r="C35" s="46" t="s">
        <v>43</v>
      </c>
      <c r="D35" s="46"/>
      <c r="E35" s="46"/>
      <c r="F35" s="46"/>
      <c r="G35" s="150">
        <f>25674+15000</f>
        <v>40674</v>
      </c>
      <c r="H35" s="150"/>
      <c r="I35" s="150">
        <v>39910</v>
      </c>
    </row>
    <row r="36" spans="2:9" s="43" customFormat="1" ht="20.25" x14ac:dyDescent="0.2">
      <c r="B36" s="42"/>
      <c r="C36" s="46" t="s">
        <v>44</v>
      </c>
      <c r="D36" s="46"/>
      <c r="E36" s="46"/>
      <c r="F36" s="46"/>
      <c r="G36" s="150">
        <v>2918</v>
      </c>
      <c r="H36" s="150"/>
      <c r="I36" s="150">
        <v>3920</v>
      </c>
    </row>
    <row r="37" spans="2:9" s="43" customFormat="1" ht="20.25" x14ac:dyDescent="0.2">
      <c r="B37" s="42"/>
      <c r="C37" s="46" t="s">
        <v>45</v>
      </c>
      <c r="D37" s="46"/>
      <c r="E37" s="46"/>
      <c r="F37" s="46"/>
      <c r="G37" s="150">
        <v>1300</v>
      </c>
      <c r="H37" s="150"/>
      <c r="I37" s="150">
        <f>940+360</f>
        <v>1300</v>
      </c>
    </row>
    <row r="38" spans="2:9" s="43" customFormat="1" ht="20.25" x14ac:dyDescent="0.2">
      <c r="B38" s="42"/>
      <c r="C38" s="46" t="s">
        <v>46</v>
      </c>
      <c r="D38" s="46"/>
      <c r="E38" s="46"/>
      <c r="F38" s="46"/>
      <c r="G38" s="150">
        <v>15125</v>
      </c>
      <c r="H38" s="150"/>
      <c r="I38" s="150">
        <v>16375</v>
      </c>
    </row>
    <row r="39" spans="2:9" s="43" customFormat="1" ht="20.25" x14ac:dyDescent="0.2">
      <c r="B39" s="42"/>
      <c r="C39" s="814" t="s">
        <v>47</v>
      </c>
      <c r="D39" s="814"/>
      <c r="E39" s="814"/>
      <c r="F39" s="814"/>
      <c r="G39" s="150">
        <v>0</v>
      </c>
      <c r="H39" s="150"/>
      <c r="I39" s="150"/>
    </row>
    <row r="40" spans="2:9" s="43" customFormat="1" ht="20.25" x14ac:dyDescent="0.2">
      <c r="B40" s="42"/>
      <c r="C40" s="46" t="s">
        <v>48</v>
      </c>
      <c r="D40" s="46"/>
      <c r="E40" s="46"/>
      <c r="F40" s="46"/>
      <c r="G40" s="150">
        <v>23851</v>
      </c>
      <c r="H40" s="150"/>
      <c r="I40" s="150">
        <v>22610</v>
      </c>
    </row>
    <row r="41" spans="2:9" s="43" customFormat="1" ht="20.25" x14ac:dyDescent="0.2">
      <c r="B41" s="42"/>
      <c r="C41" s="46" t="s">
        <v>49</v>
      </c>
      <c r="D41" s="46"/>
      <c r="E41" s="46"/>
      <c r="F41" s="46"/>
      <c r="G41" s="150">
        <v>13155</v>
      </c>
      <c r="H41" s="150"/>
      <c r="I41" s="150">
        <v>12600</v>
      </c>
    </row>
    <row r="42" spans="2:9" s="43" customFormat="1" ht="20.25" x14ac:dyDescent="0.2">
      <c r="B42" s="42"/>
      <c r="C42" s="46" t="s">
        <v>50</v>
      </c>
      <c r="D42" s="46"/>
      <c r="E42" s="46"/>
      <c r="F42" s="46"/>
      <c r="G42" s="150">
        <v>1320</v>
      </c>
      <c r="H42" s="150"/>
      <c r="I42" s="150">
        <v>900</v>
      </c>
    </row>
    <row r="43" spans="2:9" s="43" customFormat="1" ht="20.25" x14ac:dyDescent="0.2">
      <c r="B43" s="42"/>
      <c r="C43" s="46" t="s">
        <v>51</v>
      </c>
      <c r="D43" s="46"/>
      <c r="E43" s="46"/>
      <c r="F43" s="46"/>
      <c r="G43" s="150">
        <f>1500+4750</f>
        <v>6250</v>
      </c>
      <c r="H43" s="150"/>
      <c r="I43" s="150">
        <v>6750</v>
      </c>
    </row>
    <row r="44" spans="2:9" s="43" customFormat="1" ht="20.25" customHeight="1" x14ac:dyDescent="0.2">
      <c r="B44" s="42"/>
      <c r="C44" s="46" t="s">
        <v>52</v>
      </c>
      <c r="D44" s="46"/>
      <c r="E44" s="46"/>
      <c r="F44" s="46"/>
      <c r="G44" s="150">
        <v>8812</v>
      </c>
      <c r="H44" s="150"/>
      <c r="I44" s="150">
        <v>8840</v>
      </c>
    </row>
    <row r="45" spans="2:9" s="43" customFormat="1" ht="20.25" x14ac:dyDescent="0.2">
      <c r="B45" s="46"/>
      <c r="C45" s="46" t="s">
        <v>53</v>
      </c>
      <c r="D45" s="46"/>
      <c r="E45" s="46"/>
      <c r="F45" s="46"/>
      <c r="G45" s="150">
        <v>13980</v>
      </c>
      <c r="H45" s="150"/>
      <c r="I45" s="150">
        <v>150220</v>
      </c>
    </row>
    <row r="46" spans="2:9" s="43" customFormat="1" ht="20.25" x14ac:dyDescent="0.2">
      <c r="B46" s="42"/>
      <c r="C46" s="46" t="s">
        <v>54</v>
      </c>
      <c r="D46" s="46"/>
      <c r="E46" s="46"/>
      <c r="F46" s="46"/>
      <c r="G46" s="150">
        <v>71775</v>
      </c>
      <c r="H46" s="150"/>
      <c r="I46" s="150">
        <v>75200</v>
      </c>
    </row>
    <row r="47" spans="2:9" s="43" customFormat="1" ht="20.25" x14ac:dyDescent="0.2">
      <c r="B47" s="42"/>
      <c r="C47" s="46" t="s">
        <v>55</v>
      </c>
      <c r="D47" s="46"/>
      <c r="E47" s="46"/>
      <c r="F47" s="46"/>
      <c r="G47" s="150">
        <f>3750+38808</f>
        <v>42558</v>
      </c>
      <c r="H47" s="150"/>
      <c r="I47" s="150">
        <v>79050</v>
      </c>
    </row>
    <row r="48" spans="2:9" s="43" customFormat="1" ht="20.25" x14ac:dyDescent="0.2">
      <c r="B48" s="46"/>
      <c r="D48" s="42" t="s">
        <v>68</v>
      </c>
      <c r="G48" s="150">
        <f>SUM(G27:G47)</f>
        <v>1718286</v>
      </c>
      <c r="H48" s="150"/>
      <c r="I48" s="150">
        <f>SUM(I27:I47)</f>
        <v>1724853</v>
      </c>
    </row>
    <row r="50" spans="2:9" s="43" customFormat="1" ht="20.25" x14ac:dyDescent="0.2">
      <c r="B50" s="46"/>
      <c r="C50" s="518" t="s">
        <v>57</v>
      </c>
      <c r="D50"/>
      <c r="E50" s="42"/>
      <c r="F50" s="42"/>
      <c r="G50" s="158">
        <f>G24-G48</f>
        <v>-113372</v>
      </c>
      <c r="H50" s="150"/>
      <c r="I50" s="158">
        <f>I24-I48</f>
        <v>-5513</v>
      </c>
    </row>
    <row r="51" spans="2:9" s="43" customFormat="1" ht="9" customHeight="1" x14ac:dyDescent="0.2">
      <c r="B51" s="46"/>
      <c r="C51" s="46"/>
      <c r="D51" s="46"/>
      <c r="E51" s="46"/>
      <c r="F51" s="46"/>
      <c r="G51" s="150"/>
      <c r="H51" s="150"/>
      <c r="I51" s="150"/>
    </row>
    <row r="52" spans="2:9" s="43" customFormat="1" ht="23.25" customHeight="1" x14ac:dyDescent="0.2">
      <c r="B52" s="46"/>
      <c r="C52" s="46" t="s">
        <v>69</v>
      </c>
      <c r="D52" s="46"/>
      <c r="F52" s="46"/>
      <c r="G52" s="150">
        <v>48285</v>
      </c>
      <c r="H52" s="150"/>
      <c r="I52" s="150">
        <v>39540</v>
      </c>
    </row>
    <row r="53" spans="2:9" s="43" customFormat="1" ht="20.25" x14ac:dyDescent="0.2">
      <c r="B53" s="46"/>
      <c r="C53" s="46" t="s">
        <v>70</v>
      </c>
      <c r="D53" s="46"/>
      <c r="F53" s="46"/>
      <c r="G53" s="150">
        <v>5933</v>
      </c>
      <c r="H53" s="150"/>
      <c r="I53" s="150">
        <v>465</v>
      </c>
    </row>
    <row r="54" spans="2:9" s="43" customFormat="1" ht="9" customHeight="1" thickBot="1" x14ac:dyDescent="0.25">
      <c r="B54" s="46"/>
      <c r="C54" s="46"/>
      <c r="D54" s="46"/>
      <c r="E54" s="46"/>
      <c r="F54" s="46"/>
      <c r="G54" s="150"/>
      <c r="H54" s="150"/>
      <c r="I54" s="150"/>
    </row>
    <row r="55" spans="2:9" s="43" customFormat="1" ht="21.75" thickTop="1" thickBot="1" x14ac:dyDescent="0.25">
      <c r="B55" s="42"/>
      <c r="C55" s="519" t="s">
        <v>59</v>
      </c>
      <c r="D55" s="520"/>
      <c r="E55" s="520"/>
      <c r="F55" s="520"/>
      <c r="G55" s="521">
        <f>G50-G53-G52</f>
        <v>-167590</v>
      </c>
      <c r="H55" s="521"/>
      <c r="I55" s="521">
        <f>I50-I53-I52</f>
        <v>-45518</v>
      </c>
    </row>
    <row r="56" spans="2:9" s="43" customFormat="1" ht="21" thickTop="1" x14ac:dyDescent="0.2">
      <c r="B56" s="42"/>
      <c r="C56" s="42"/>
      <c r="D56" s="42"/>
      <c r="E56" s="42"/>
      <c r="F56" s="42"/>
      <c r="G56" s="153"/>
      <c r="H56" s="153"/>
    </row>
    <row r="57" spans="2:9" ht="20.25" x14ac:dyDescent="0.3">
      <c r="B57" s="522" t="s">
        <v>71</v>
      </c>
      <c r="C57" s="523"/>
      <c r="F57" s="489"/>
      <c r="G57" s="183"/>
      <c r="H57" s="183"/>
      <c r="I57" s="523"/>
    </row>
    <row r="58" spans="2:9" ht="9.75" customHeight="1" x14ac:dyDescent="0.3">
      <c r="B58" s="522"/>
      <c r="C58" s="523"/>
      <c r="F58" s="489"/>
      <c r="G58" s="183"/>
      <c r="H58" s="183"/>
      <c r="I58" s="523"/>
    </row>
    <row r="59" spans="2:9" ht="20.25" x14ac:dyDescent="0.3">
      <c r="B59" s="522"/>
      <c r="C59" s="21" t="s">
        <v>72</v>
      </c>
      <c r="F59" s="489"/>
      <c r="G59" s="183"/>
      <c r="H59" s="183"/>
      <c r="I59" s="523"/>
    </row>
    <row r="60" spans="2:9" ht="20.25" x14ac:dyDescent="0.3">
      <c r="B60" s="522"/>
      <c r="C60" s="361" t="s">
        <v>73</v>
      </c>
      <c r="F60" s="489"/>
      <c r="G60" s="183"/>
      <c r="H60" s="183"/>
      <c r="I60" s="523"/>
    </row>
    <row r="61" spans="2:9" ht="33.75" customHeight="1" x14ac:dyDescent="0.3">
      <c r="B61" s="522"/>
      <c r="C61" s="815" t="s">
        <v>74</v>
      </c>
      <c r="D61" s="815"/>
      <c r="E61" s="815"/>
      <c r="F61" s="815"/>
      <c r="G61" s="815"/>
      <c r="H61" s="815"/>
      <c r="I61" s="815"/>
    </row>
    <row r="62" spans="2:9" s="547" customFormat="1" ht="39" customHeight="1" x14ac:dyDescent="0.2">
      <c r="B62" s="546"/>
      <c r="C62" s="816" t="s">
        <v>75</v>
      </c>
      <c r="D62" s="816"/>
      <c r="E62" s="816"/>
      <c r="F62" s="816"/>
      <c r="G62" s="816"/>
      <c r="H62" s="816"/>
      <c r="I62" s="816"/>
    </row>
    <row r="63" spans="2:9" ht="20.25" x14ac:dyDescent="0.3">
      <c r="B63" s="522"/>
      <c r="C63" s="361" t="s">
        <v>76</v>
      </c>
      <c r="F63" s="489"/>
      <c r="G63" s="183"/>
      <c r="H63" s="183"/>
      <c r="I63" s="523"/>
    </row>
    <row r="64" spans="2:9" ht="20.25" x14ac:dyDescent="0.3">
      <c r="B64" s="522"/>
      <c r="C64">
        <v>1</v>
      </c>
      <c r="D64" s="361" t="s">
        <v>77</v>
      </c>
      <c r="F64" s="489"/>
      <c r="G64" s="183"/>
      <c r="H64" s="183"/>
      <c r="I64" s="523"/>
    </row>
    <row r="65" spans="3:9" ht="20.25" x14ac:dyDescent="0.3">
      <c r="C65" s="361">
        <v>2</v>
      </c>
      <c r="D65" s="361" t="s">
        <v>78</v>
      </c>
      <c r="F65" s="489"/>
      <c r="G65" s="183"/>
      <c r="H65" s="183"/>
      <c r="I65" s="523"/>
    </row>
    <row r="66" spans="3:9" ht="20.25" x14ac:dyDescent="0.3">
      <c r="C66" s="361">
        <v>3</v>
      </c>
      <c r="D66" s="361" t="s">
        <v>79</v>
      </c>
      <c r="F66" s="489"/>
      <c r="G66" s="183"/>
      <c r="H66" s="183"/>
      <c r="I66" s="523"/>
    </row>
    <row r="67" spans="3:9" ht="20.25" x14ac:dyDescent="0.3">
      <c r="C67" s="361" t="s">
        <v>80</v>
      </c>
      <c r="D67" s="361"/>
      <c r="F67" s="489"/>
      <c r="G67" s="183"/>
      <c r="H67" s="183"/>
      <c r="I67" s="523"/>
    </row>
    <row r="68" spans="3:9" ht="39.75" customHeight="1" x14ac:dyDescent="0.2">
      <c r="C68" s="815" t="s">
        <v>81</v>
      </c>
      <c r="D68" s="815"/>
      <c r="E68" s="815"/>
      <c r="F68" s="815"/>
      <c r="G68" s="815"/>
      <c r="H68" s="815"/>
      <c r="I68" s="815"/>
    </row>
    <row r="69" spans="3:9" ht="20.25" customHeight="1" x14ac:dyDescent="0.2">
      <c r="C69" s="815" t="s">
        <v>82</v>
      </c>
      <c r="D69" s="815"/>
      <c r="E69" s="815"/>
      <c r="F69" s="815"/>
      <c r="G69" s="815"/>
      <c r="H69" s="815"/>
      <c r="I69" s="815"/>
    </row>
    <row r="70" spans="3:9" ht="11.25" customHeight="1" x14ac:dyDescent="0.3">
      <c r="C70" s="361"/>
      <c r="F70" s="489"/>
      <c r="G70" s="183"/>
      <c r="H70" s="183"/>
      <c r="I70" s="523"/>
    </row>
    <row r="71" spans="3:9" ht="20.25" x14ac:dyDescent="0.3">
      <c r="C71" s="524" t="s">
        <v>83</v>
      </c>
      <c r="F71" s="489"/>
      <c r="G71" s="183"/>
      <c r="H71" s="183"/>
      <c r="I71" s="523"/>
    </row>
    <row r="72" spans="3:9" ht="38.25" customHeight="1" x14ac:dyDescent="0.2">
      <c r="C72" s="815" t="s">
        <v>84</v>
      </c>
      <c r="D72" s="815"/>
      <c r="E72" s="815"/>
      <c r="F72" s="815"/>
      <c r="G72" s="815"/>
      <c r="H72" s="815"/>
      <c r="I72" s="815"/>
    </row>
    <row r="73" spans="3:9" ht="37.5" customHeight="1" x14ac:dyDescent="0.2">
      <c r="C73" s="816" t="s">
        <v>85</v>
      </c>
      <c r="D73" s="816"/>
      <c r="E73" s="816"/>
      <c r="F73" s="816"/>
      <c r="G73" s="816"/>
      <c r="H73" s="816"/>
      <c r="I73" s="816"/>
    </row>
    <row r="74" spans="3:9" ht="18" x14ac:dyDescent="0.25">
      <c r="C74" s="361" t="s">
        <v>86</v>
      </c>
      <c r="F74" s="489"/>
      <c r="G74" s="523"/>
      <c r="H74" s="523"/>
      <c r="I74" s="523"/>
    </row>
    <row r="75" spans="3:9" ht="18" x14ac:dyDescent="0.25">
      <c r="C75" s="361" t="s">
        <v>87</v>
      </c>
      <c r="F75" s="489"/>
      <c r="G75" s="523"/>
      <c r="H75" s="523"/>
      <c r="I75" s="523"/>
    </row>
    <row r="76" spans="3:9" ht="29.25" customHeight="1" x14ac:dyDescent="0.2">
      <c r="C76" s="815" t="s">
        <v>88</v>
      </c>
      <c r="D76" s="815"/>
      <c r="E76" s="815"/>
      <c r="F76" s="815"/>
      <c r="G76" s="815"/>
      <c r="H76" s="815"/>
      <c r="I76" s="815"/>
    </row>
    <row r="77" spans="3:9" ht="18" x14ac:dyDescent="0.25">
      <c r="C77" s="184" t="s">
        <v>89</v>
      </c>
      <c r="F77" s="489"/>
      <c r="G77" s="523"/>
      <c r="H77" s="523"/>
      <c r="I77" s="523"/>
    </row>
    <row r="78" spans="3:9" ht="18" x14ac:dyDescent="0.25">
      <c r="C78" s="184">
        <v>1</v>
      </c>
      <c r="D78" s="184" t="s">
        <v>90</v>
      </c>
      <c r="F78" s="489"/>
      <c r="G78" s="523"/>
      <c r="H78" s="523"/>
      <c r="I78" s="523"/>
    </row>
    <row r="79" spans="3:9" ht="18" x14ac:dyDescent="0.25">
      <c r="C79" s="184">
        <v>2</v>
      </c>
      <c r="D79" s="184" t="s">
        <v>91</v>
      </c>
      <c r="F79" s="489"/>
    </row>
    <row r="80" spans="3:9" ht="18" x14ac:dyDescent="0.25">
      <c r="C80" s="184">
        <v>3</v>
      </c>
      <c r="D80" s="184" t="s">
        <v>92</v>
      </c>
      <c r="F80" s="489"/>
    </row>
    <row r="81" spans="3:6" ht="18" x14ac:dyDescent="0.25">
      <c r="C81" s="184">
        <v>4</v>
      </c>
      <c r="D81" s="184" t="s">
        <v>93</v>
      </c>
      <c r="F81" s="489"/>
    </row>
    <row r="82" spans="3:6" ht="18" x14ac:dyDescent="0.25">
      <c r="C82" s="184" t="s">
        <v>94</v>
      </c>
      <c r="D82" s="184"/>
      <c r="F82" s="489"/>
    </row>
    <row r="83" spans="3:6" ht="18" x14ac:dyDescent="0.25">
      <c r="C83" s="184" t="s">
        <v>95</v>
      </c>
      <c r="D83" s="184"/>
      <c r="F83" s="489"/>
    </row>
    <row r="84" spans="3:6" ht="18" x14ac:dyDescent="0.25">
      <c r="C84" s="184">
        <v>1</v>
      </c>
      <c r="D84" s="184" t="s">
        <v>96</v>
      </c>
      <c r="F84" s="73"/>
    </row>
    <row r="85" spans="3:6" ht="18" x14ac:dyDescent="0.25">
      <c r="C85" s="184">
        <v>2</v>
      </c>
      <c r="D85" s="184" t="s">
        <v>97</v>
      </c>
      <c r="F85" s="73"/>
    </row>
    <row r="86" spans="3:6" x14ac:dyDescent="0.2">
      <c r="C86" s="184" t="s">
        <v>94</v>
      </c>
      <c r="D86" s="184"/>
    </row>
    <row r="87" spans="3:6" x14ac:dyDescent="0.2">
      <c r="C87" s="184" t="s">
        <v>98</v>
      </c>
      <c r="D87" s="184"/>
    </row>
    <row r="88" spans="3:6" x14ac:dyDescent="0.2">
      <c r="C88" s="184" t="s">
        <v>99</v>
      </c>
      <c r="D88" s="184"/>
    </row>
  </sheetData>
  <mergeCells count="8">
    <mergeCell ref="C76:I76"/>
    <mergeCell ref="C39:F39"/>
    <mergeCell ref="C72:I72"/>
    <mergeCell ref="C73:I73"/>
    <mergeCell ref="C68:I68"/>
    <mergeCell ref="C69:I69"/>
    <mergeCell ref="C61:I61"/>
    <mergeCell ref="C62:I62"/>
  </mergeCells>
  <pageMargins left="0.7" right="0.7" top="0.75" bottom="0.75" header="0.3" footer="0.3"/>
  <pageSetup orientation="portrait" horizontalDpi="0" verticalDpi="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63"/>
  <sheetViews>
    <sheetView zoomScale="75" zoomScaleNormal="75" workbookViewId="0">
      <selection activeCell="S47" sqref="S47"/>
    </sheetView>
  </sheetViews>
  <sheetFormatPr defaultRowHeight="20.25" x14ac:dyDescent="0.3"/>
  <cols>
    <col min="1" max="1" width="2.875" style="33" customWidth="1"/>
    <col min="2" max="2" width="8.125" style="33" customWidth="1"/>
    <col min="3" max="3" width="8.75" style="33" customWidth="1"/>
    <col min="4" max="4" width="5.75" style="33" customWidth="1"/>
    <col min="5" max="5" width="2.875" style="33" customWidth="1"/>
    <col min="6" max="6" width="45.625" style="33" customWidth="1"/>
    <col min="7" max="7" width="22.25" style="147" hidden="1" customWidth="1"/>
    <col min="8" max="8" width="23.125" hidden="1" customWidth="1"/>
    <col min="9" max="9" width="1.625" hidden="1" customWidth="1"/>
    <col min="10" max="10" width="26.875" customWidth="1"/>
    <col min="11" max="11" width="24.5" customWidth="1"/>
    <col min="12" max="12" width="1.625" customWidth="1"/>
    <col min="13" max="13" width="23.125" customWidth="1"/>
    <col min="14" max="14" width="1.75" customWidth="1"/>
    <col min="15" max="15" width="15.25" bestFit="1" customWidth="1"/>
    <col min="16" max="16" width="10.625" customWidth="1"/>
    <col min="18" max="18" width="16.875" style="469" bestFit="1" customWidth="1"/>
    <col min="19" max="19" width="10" bestFit="1" customWidth="1"/>
    <col min="21" max="21" width="11.5" bestFit="1" customWidth="1"/>
    <col min="255" max="255" width="2.875" customWidth="1"/>
    <col min="256" max="256" width="8.125" customWidth="1"/>
    <col min="257" max="257" width="8.75" customWidth="1"/>
    <col min="258" max="258" width="11" customWidth="1"/>
    <col min="259" max="259" width="2.875" customWidth="1"/>
    <col min="260" max="260" width="77.625" customWidth="1"/>
    <col min="261" max="261" width="20.875" customWidth="1"/>
    <col min="511" max="511" width="2.875" customWidth="1"/>
    <col min="512" max="512" width="8.125" customWidth="1"/>
    <col min="513" max="513" width="8.75" customWidth="1"/>
    <col min="514" max="514" width="11" customWidth="1"/>
    <col min="515" max="515" width="2.875" customWidth="1"/>
    <col min="516" max="516" width="77.625" customWidth="1"/>
    <col min="517" max="517" width="20.875" customWidth="1"/>
    <col min="767" max="767" width="2.875" customWidth="1"/>
    <col min="768" max="768" width="8.125" customWidth="1"/>
    <col min="769" max="769" width="8.75" customWidth="1"/>
    <col min="770" max="770" width="11" customWidth="1"/>
    <col min="771" max="771" width="2.875" customWidth="1"/>
    <col min="772" max="772" width="77.625" customWidth="1"/>
    <col min="773" max="773" width="20.875" customWidth="1"/>
    <col min="1023" max="1023" width="2.875" customWidth="1"/>
    <col min="1024" max="1024" width="8.125" customWidth="1"/>
    <col min="1025" max="1025" width="8.75" customWidth="1"/>
    <col min="1026" max="1026" width="11" customWidth="1"/>
    <col min="1027" max="1027" width="2.875" customWidth="1"/>
    <col min="1028" max="1028" width="77.625" customWidth="1"/>
    <col min="1029" max="1029" width="20.875" customWidth="1"/>
    <col min="1279" max="1279" width="2.875" customWidth="1"/>
    <col min="1280" max="1280" width="8.125" customWidth="1"/>
    <col min="1281" max="1281" width="8.75" customWidth="1"/>
    <col min="1282" max="1282" width="11" customWidth="1"/>
    <col min="1283" max="1283" width="2.875" customWidth="1"/>
    <col min="1284" max="1284" width="77.625" customWidth="1"/>
    <col min="1285" max="1285" width="20.875" customWidth="1"/>
    <col min="1535" max="1535" width="2.875" customWidth="1"/>
    <col min="1536" max="1536" width="8.125" customWidth="1"/>
    <col min="1537" max="1537" width="8.75" customWidth="1"/>
    <col min="1538" max="1538" width="11" customWidth="1"/>
    <col min="1539" max="1539" width="2.875" customWidth="1"/>
    <col min="1540" max="1540" width="77.625" customWidth="1"/>
    <col min="1541" max="1541" width="20.875" customWidth="1"/>
    <col min="1791" max="1791" width="2.875" customWidth="1"/>
    <col min="1792" max="1792" width="8.125" customWidth="1"/>
    <col min="1793" max="1793" width="8.75" customWidth="1"/>
    <col min="1794" max="1794" width="11" customWidth="1"/>
    <col min="1795" max="1795" width="2.875" customWidth="1"/>
    <col min="1796" max="1796" width="77.625" customWidth="1"/>
    <col min="1797" max="1797" width="20.875" customWidth="1"/>
    <col min="2047" max="2047" width="2.875" customWidth="1"/>
    <col min="2048" max="2048" width="8.125" customWidth="1"/>
    <col min="2049" max="2049" width="8.75" customWidth="1"/>
    <col min="2050" max="2050" width="11" customWidth="1"/>
    <col min="2051" max="2051" width="2.875" customWidth="1"/>
    <col min="2052" max="2052" width="77.625" customWidth="1"/>
    <col min="2053" max="2053" width="20.875" customWidth="1"/>
    <col min="2303" max="2303" width="2.875" customWidth="1"/>
    <col min="2304" max="2304" width="8.125" customWidth="1"/>
    <col min="2305" max="2305" width="8.75" customWidth="1"/>
    <col min="2306" max="2306" width="11" customWidth="1"/>
    <col min="2307" max="2307" width="2.875" customWidth="1"/>
    <col min="2308" max="2308" width="77.625" customWidth="1"/>
    <col min="2309" max="2309" width="20.875" customWidth="1"/>
    <col min="2559" max="2559" width="2.875" customWidth="1"/>
    <col min="2560" max="2560" width="8.125" customWidth="1"/>
    <col min="2561" max="2561" width="8.75" customWidth="1"/>
    <col min="2562" max="2562" width="11" customWidth="1"/>
    <col min="2563" max="2563" width="2.875" customWidth="1"/>
    <col min="2564" max="2564" width="77.625" customWidth="1"/>
    <col min="2565" max="2565" width="20.875" customWidth="1"/>
    <col min="2815" max="2815" width="2.875" customWidth="1"/>
    <col min="2816" max="2816" width="8.125" customWidth="1"/>
    <col min="2817" max="2817" width="8.75" customWidth="1"/>
    <col min="2818" max="2818" width="11" customWidth="1"/>
    <col min="2819" max="2819" width="2.875" customWidth="1"/>
    <col min="2820" max="2820" width="77.625" customWidth="1"/>
    <col min="2821" max="2821" width="20.875" customWidth="1"/>
    <col min="3071" max="3071" width="2.875" customWidth="1"/>
    <col min="3072" max="3072" width="8.125" customWidth="1"/>
    <col min="3073" max="3073" width="8.75" customWidth="1"/>
    <col min="3074" max="3074" width="11" customWidth="1"/>
    <col min="3075" max="3075" width="2.875" customWidth="1"/>
    <col min="3076" max="3076" width="77.625" customWidth="1"/>
    <col min="3077" max="3077" width="20.875" customWidth="1"/>
    <col min="3327" max="3327" width="2.875" customWidth="1"/>
    <col min="3328" max="3328" width="8.125" customWidth="1"/>
    <col min="3329" max="3329" width="8.75" customWidth="1"/>
    <col min="3330" max="3330" width="11" customWidth="1"/>
    <col min="3331" max="3331" width="2.875" customWidth="1"/>
    <col min="3332" max="3332" width="77.625" customWidth="1"/>
    <col min="3333" max="3333" width="20.875" customWidth="1"/>
    <col min="3583" max="3583" width="2.875" customWidth="1"/>
    <col min="3584" max="3584" width="8.125" customWidth="1"/>
    <col min="3585" max="3585" width="8.75" customWidth="1"/>
    <col min="3586" max="3586" width="11" customWidth="1"/>
    <col min="3587" max="3587" width="2.875" customWidth="1"/>
    <col min="3588" max="3588" width="77.625" customWidth="1"/>
    <col min="3589" max="3589" width="20.875" customWidth="1"/>
    <col min="3839" max="3839" width="2.875" customWidth="1"/>
    <col min="3840" max="3840" width="8.125" customWidth="1"/>
    <col min="3841" max="3841" width="8.75" customWidth="1"/>
    <col min="3842" max="3842" width="11" customWidth="1"/>
    <col min="3843" max="3843" width="2.875" customWidth="1"/>
    <col min="3844" max="3844" width="77.625" customWidth="1"/>
    <col min="3845" max="3845" width="20.875" customWidth="1"/>
    <col min="4095" max="4095" width="2.875" customWidth="1"/>
    <col min="4096" max="4096" width="8.125" customWidth="1"/>
    <col min="4097" max="4097" width="8.75" customWidth="1"/>
    <col min="4098" max="4098" width="11" customWidth="1"/>
    <col min="4099" max="4099" width="2.875" customWidth="1"/>
    <col min="4100" max="4100" width="77.625" customWidth="1"/>
    <col min="4101" max="4101" width="20.875" customWidth="1"/>
    <col min="4351" max="4351" width="2.875" customWidth="1"/>
    <col min="4352" max="4352" width="8.125" customWidth="1"/>
    <col min="4353" max="4353" width="8.75" customWidth="1"/>
    <col min="4354" max="4354" width="11" customWidth="1"/>
    <col min="4355" max="4355" width="2.875" customWidth="1"/>
    <col min="4356" max="4356" width="77.625" customWidth="1"/>
    <col min="4357" max="4357" width="20.875" customWidth="1"/>
    <col min="4607" max="4607" width="2.875" customWidth="1"/>
    <col min="4608" max="4608" width="8.125" customWidth="1"/>
    <col min="4609" max="4609" width="8.75" customWidth="1"/>
    <col min="4610" max="4610" width="11" customWidth="1"/>
    <col min="4611" max="4611" width="2.875" customWidth="1"/>
    <col min="4612" max="4612" width="77.625" customWidth="1"/>
    <col min="4613" max="4613" width="20.875" customWidth="1"/>
    <col min="4863" max="4863" width="2.875" customWidth="1"/>
    <col min="4864" max="4864" width="8.125" customWidth="1"/>
    <col min="4865" max="4865" width="8.75" customWidth="1"/>
    <col min="4866" max="4866" width="11" customWidth="1"/>
    <col min="4867" max="4867" width="2.875" customWidth="1"/>
    <col min="4868" max="4868" width="77.625" customWidth="1"/>
    <col min="4869" max="4869" width="20.875" customWidth="1"/>
    <col min="5119" max="5119" width="2.875" customWidth="1"/>
    <col min="5120" max="5120" width="8.125" customWidth="1"/>
    <col min="5121" max="5121" width="8.75" customWidth="1"/>
    <col min="5122" max="5122" width="11" customWidth="1"/>
    <col min="5123" max="5123" width="2.875" customWidth="1"/>
    <col min="5124" max="5124" width="77.625" customWidth="1"/>
    <col min="5125" max="5125" width="20.875" customWidth="1"/>
    <col min="5375" max="5375" width="2.875" customWidth="1"/>
    <col min="5376" max="5376" width="8.125" customWidth="1"/>
    <col min="5377" max="5377" width="8.75" customWidth="1"/>
    <col min="5378" max="5378" width="11" customWidth="1"/>
    <col min="5379" max="5379" width="2.875" customWidth="1"/>
    <col min="5380" max="5380" width="77.625" customWidth="1"/>
    <col min="5381" max="5381" width="20.875" customWidth="1"/>
    <col min="5631" max="5631" width="2.875" customWidth="1"/>
    <col min="5632" max="5632" width="8.125" customWidth="1"/>
    <col min="5633" max="5633" width="8.75" customWidth="1"/>
    <col min="5634" max="5634" width="11" customWidth="1"/>
    <col min="5635" max="5635" width="2.875" customWidth="1"/>
    <col min="5636" max="5636" width="77.625" customWidth="1"/>
    <col min="5637" max="5637" width="20.875" customWidth="1"/>
    <col min="5887" max="5887" width="2.875" customWidth="1"/>
    <col min="5888" max="5888" width="8.125" customWidth="1"/>
    <col min="5889" max="5889" width="8.75" customWidth="1"/>
    <col min="5890" max="5890" width="11" customWidth="1"/>
    <col min="5891" max="5891" width="2.875" customWidth="1"/>
    <col min="5892" max="5892" width="77.625" customWidth="1"/>
    <col min="5893" max="5893" width="20.875" customWidth="1"/>
    <col min="6143" max="6143" width="2.875" customWidth="1"/>
    <col min="6144" max="6144" width="8.125" customWidth="1"/>
    <col min="6145" max="6145" width="8.75" customWidth="1"/>
    <col min="6146" max="6146" width="11" customWidth="1"/>
    <col min="6147" max="6147" width="2.875" customWidth="1"/>
    <col min="6148" max="6148" width="77.625" customWidth="1"/>
    <col min="6149" max="6149" width="20.875" customWidth="1"/>
    <col min="6399" max="6399" width="2.875" customWidth="1"/>
    <col min="6400" max="6400" width="8.125" customWidth="1"/>
    <col min="6401" max="6401" width="8.75" customWidth="1"/>
    <col min="6402" max="6402" width="11" customWidth="1"/>
    <col min="6403" max="6403" width="2.875" customWidth="1"/>
    <col min="6404" max="6404" width="77.625" customWidth="1"/>
    <col min="6405" max="6405" width="20.875" customWidth="1"/>
    <col min="6655" max="6655" width="2.875" customWidth="1"/>
    <col min="6656" max="6656" width="8.125" customWidth="1"/>
    <col min="6657" max="6657" width="8.75" customWidth="1"/>
    <col min="6658" max="6658" width="11" customWidth="1"/>
    <col min="6659" max="6659" width="2.875" customWidth="1"/>
    <col min="6660" max="6660" width="77.625" customWidth="1"/>
    <col min="6661" max="6661" width="20.875" customWidth="1"/>
    <col min="6911" max="6911" width="2.875" customWidth="1"/>
    <col min="6912" max="6912" width="8.125" customWidth="1"/>
    <col min="6913" max="6913" width="8.75" customWidth="1"/>
    <col min="6914" max="6914" width="11" customWidth="1"/>
    <col min="6915" max="6915" width="2.875" customWidth="1"/>
    <col min="6916" max="6916" width="77.625" customWidth="1"/>
    <col min="6917" max="6917" width="20.875" customWidth="1"/>
    <col min="7167" max="7167" width="2.875" customWidth="1"/>
    <col min="7168" max="7168" width="8.125" customWidth="1"/>
    <col min="7169" max="7169" width="8.75" customWidth="1"/>
    <col min="7170" max="7170" width="11" customWidth="1"/>
    <col min="7171" max="7171" width="2.875" customWidth="1"/>
    <col min="7172" max="7172" width="77.625" customWidth="1"/>
    <col min="7173" max="7173" width="20.875" customWidth="1"/>
    <col min="7423" max="7423" width="2.875" customWidth="1"/>
    <col min="7424" max="7424" width="8.125" customWidth="1"/>
    <col min="7425" max="7425" width="8.75" customWidth="1"/>
    <col min="7426" max="7426" width="11" customWidth="1"/>
    <col min="7427" max="7427" width="2.875" customWidth="1"/>
    <col min="7428" max="7428" width="77.625" customWidth="1"/>
    <col min="7429" max="7429" width="20.875" customWidth="1"/>
    <col min="7679" max="7679" width="2.875" customWidth="1"/>
    <col min="7680" max="7680" width="8.125" customWidth="1"/>
    <col min="7681" max="7681" width="8.75" customWidth="1"/>
    <col min="7682" max="7682" width="11" customWidth="1"/>
    <col min="7683" max="7683" width="2.875" customWidth="1"/>
    <col min="7684" max="7684" width="77.625" customWidth="1"/>
    <col min="7685" max="7685" width="20.875" customWidth="1"/>
    <col min="7935" max="7935" width="2.875" customWidth="1"/>
    <col min="7936" max="7936" width="8.125" customWidth="1"/>
    <col min="7937" max="7937" width="8.75" customWidth="1"/>
    <col min="7938" max="7938" width="11" customWidth="1"/>
    <col min="7939" max="7939" width="2.875" customWidth="1"/>
    <col min="7940" max="7940" width="77.625" customWidth="1"/>
    <col min="7941" max="7941" width="20.875" customWidth="1"/>
    <col min="8191" max="8191" width="2.875" customWidth="1"/>
    <col min="8192" max="8192" width="8.125" customWidth="1"/>
    <col min="8193" max="8193" width="8.75" customWidth="1"/>
    <col min="8194" max="8194" width="11" customWidth="1"/>
    <col min="8195" max="8195" width="2.875" customWidth="1"/>
    <col min="8196" max="8196" width="77.625" customWidth="1"/>
    <col min="8197" max="8197" width="20.875" customWidth="1"/>
    <col min="8447" max="8447" width="2.875" customWidth="1"/>
    <col min="8448" max="8448" width="8.125" customWidth="1"/>
    <col min="8449" max="8449" width="8.75" customWidth="1"/>
    <col min="8450" max="8450" width="11" customWidth="1"/>
    <col min="8451" max="8451" width="2.875" customWidth="1"/>
    <col min="8452" max="8452" width="77.625" customWidth="1"/>
    <col min="8453" max="8453" width="20.875" customWidth="1"/>
    <col min="8703" max="8703" width="2.875" customWidth="1"/>
    <col min="8704" max="8704" width="8.125" customWidth="1"/>
    <col min="8705" max="8705" width="8.75" customWidth="1"/>
    <col min="8706" max="8706" width="11" customWidth="1"/>
    <col min="8707" max="8707" width="2.875" customWidth="1"/>
    <col min="8708" max="8708" width="77.625" customWidth="1"/>
    <col min="8709" max="8709" width="20.875" customWidth="1"/>
    <col min="8959" max="8959" width="2.875" customWidth="1"/>
    <col min="8960" max="8960" width="8.125" customWidth="1"/>
    <col min="8961" max="8961" width="8.75" customWidth="1"/>
    <col min="8962" max="8962" width="11" customWidth="1"/>
    <col min="8963" max="8963" width="2.875" customWidth="1"/>
    <col min="8964" max="8964" width="77.625" customWidth="1"/>
    <col min="8965" max="8965" width="20.875" customWidth="1"/>
    <col min="9215" max="9215" width="2.875" customWidth="1"/>
    <col min="9216" max="9216" width="8.125" customWidth="1"/>
    <col min="9217" max="9217" width="8.75" customWidth="1"/>
    <col min="9218" max="9218" width="11" customWidth="1"/>
    <col min="9219" max="9219" width="2.875" customWidth="1"/>
    <col min="9220" max="9220" width="77.625" customWidth="1"/>
    <col min="9221" max="9221" width="20.875" customWidth="1"/>
    <col min="9471" max="9471" width="2.875" customWidth="1"/>
    <col min="9472" max="9472" width="8.125" customWidth="1"/>
    <col min="9473" max="9473" width="8.75" customWidth="1"/>
    <col min="9474" max="9474" width="11" customWidth="1"/>
    <col min="9475" max="9475" width="2.875" customWidth="1"/>
    <col min="9476" max="9476" width="77.625" customWidth="1"/>
    <col min="9477" max="9477" width="20.875" customWidth="1"/>
    <col min="9727" max="9727" width="2.875" customWidth="1"/>
    <col min="9728" max="9728" width="8.125" customWidth="1"/>
    <col min="9729" max="9729" width="8.75" customWidth="1"/>
    <col min="9730" max="9730" width="11" customWidth="1"/>
    <col min="9731" max="9731" width="2.875" customWidth="1"/>
    <col min="9732" max="9732" width="77.625" customWidth="1"/>
    <col min="9733" max="9733" width="20.875" customWidth="1"/>
    <col min="9983" max="9983" width="2.875" customWidth="1"/>
    <col min="9984" max="9984" width="8.125" customWidth="1"/>
    <col min="9985" max="9985" width="8.75" customWidth="1"/>
    <col min="9986" max="9986" width="11" customWidth="1"/>
    <col min="9987" max="9987" width="2.875" customWidth="1"/>
    <col min="9988" max="9988" width="77.625" customWidth="1"/>
    <col min="9989" max="9989" width="20.875" customWidth="1"/>
    <col min="10239" max="10239" width="2.875" customWidth="1"/>
    <col min="10240" max="10240" width="8.125" customWidth="1"/>
    <col min="10241" max="10241" width="8.75" customWidth="1"/>
    <col min="10242" max="10242" width="11" customWidth="1"/>
    <col min="10243" max="10243" width="2.875" customWidth="1"/>
    <col min="10244" max="10244" width="77.625" customWidth="1"/>
    <col min="10245" max="10245" width="20.875" customWidth="1"/>
    <col min="10495" max="10495" width="2.875" customWidth="1"/>
    <col min="10496" max="10496" width="8.125" customWidth="1"/>
    <col min="10497" max="10497" width="8.75" customWidth="1"/>
    <col min="10498" max="10498" width="11" customWidth="1"/>
    <col min="10499" max="10499" width="2.875" customWidth="1"/>
    <col min="10500" max="10500" width="77.625" customWidth="1"/>
    <col min="10501" max="10501" width="20.875" customWidth="1"/>
    <col min="10751" max="10751" width="2.875" customWidth="1"/>
    <col min="10752" max="10752" width="8.125" customWidth="1"/>
    <col min="10753" max="10753" width="8.75" customWidth="1"/>
    <col min="10754" max="10754" width="11" customWidth="1"/>
    <col min="10755" max="10755" width="2.875" customWidth="1"/>
    <col min="10756" max="10756" width="77.625" customWidth="1"/>
    <col min="10757" max="10757" width="20.875" customWidth="1"/>
    <col min="11007" max="11007" width="2.875" customWidth="1"/>
    <col min="11008" max="11008" width="8.125" customWidth="1"/>
    <col min="11009" max="11009" width="8.75" customWidth="1"/>
    <col min="11010" max="11010" width="11" customWidth="1"/>
    <col min="11011" max="11011" width="2.875" customWidth="1"/>
    <col min="11012" max="11012" width="77.625" customWidth="1"/>
    <col min="11013" max="11013" width="20.875" customWidth="1"/>
    <col min="11263" max="11263" width="2.875" customWidth="1"/>
    <col min="11264" max="11264" width="8.125" customWidth="1"/>
    <col min="11265" max="11265" width="8.75" customWidth="1"/>
    <col min="11266" max="11266" width="11" customWidth="1"/>
    <col min="11267" max="11267" width="2.875" customWidth="1"/>
    <col min="11268" max="11268" width="77.625" customWidth="1"/>
    <col min="11269" max="11269" width="20.875" customWidth="1"/>
    <col min="11519" max="11519" width="2.875" customWidth="1"/>
    <col min="11520" max="11520" width="8.125" customWidth="1"/>
    <col min="11521" max="11521" width="8.75" customWidth="1"/>
    <col min="11522" max="11522" width="11" customWidth="1"/>
    <col min="11523" max="11523" width="2.875" customWidth="1"/>
    <col min="11524" max="11524" width="77.625" customWidth="1"/>
    <col min="11525" max="11525" width="20.875" customWidth="1"/>
    <col min="11775" max="11775" width="2.875" customWidth="1"/>
    <col min="11776" max="11776" width="8.125" customWidth="1"/>
    <col min="11777" max="11777" width="8.75" customWidth="1"/>
    <col min="11778" max="11778" width="11" customWidth="1"/>
    <col min="11779" max="11779" width="2.875" customWidth="1"/>
    <col min="11780" max="11780" width="77.625" customWidth="1"/>
    <col min="11781" max="11781" width="20.875" customWidth="1"/>
    <col min="12031" max="12031" width="2.875" customWidth="1"/>
    <col min="12032" max="12032" width="8.125" customWidth="1"/>
    <col min="12033" max="12033" width="8.75" customWidth="1"/>
    <col min="12034" max="12034" width="11" customWidth="1"/>
    <col min="12035" max="12035" width="2.875" customWidth="1"/>
    <col min="12036" max="12036" width="77.625" customWidth="1"/>
    <col min="12037" max="12037" width="20.875" customWidth="1"/>
    <col min="12287" max="12287" width="2.875" customWidth="1"/>
    <col min="12288" max="12288" width="8.125" customWidth="1"/>
    <col min="12289" max="12289" width="8.75" customWidth="1"/>
    <col min="12290" max="12290" width="11" customWidth="1"/>
    <col min="12291" max="12291" width="2.875" customWidth="1"/>
    <col min="12292" max="12292" width="77.625" customWidth="1"/>
    <col min="12293" max="12293" width="20.875" customWidth="1"/>
    <col min="12543" max="12543" width="2.875" customWidth="1"/>
    <col min="12544" max="12544" width="8.125" customWidth="1"/>
    <col min="12545" max="12545" width="8.75" customWidth="1"/>
    <col min="12546" max="12546" width="11" customWidth="1"/>
    <col min="12547" max="12547" width="2.875" customWidth="1"/>
    <col min="12548" max="12548" width="77.625" customWidth="1"/>
    <col min="12549" max="12549" width="20.875" customWidth="1"/>
    <col min="12799" max="12799" width="2.875" customWidth="1"/>
    <col min="12800" max="12800" width="8.125" customWidth="1"/>
    <col min="12801" max="12801" width="8.75" customWidth="1"/>
    <col min="12802" max="12802" width="11" customWidth="1"/>
    <col min="12803" max="12803" width="2.875" customWidth="1"/>
    <col min="12804" max="12804" width="77.625" customWidth="1"/>
    <col min="12805" max="12805" width="20.875" customWidth="1"/>
    <col min="13055" max="13055" width="2.875" customWidth="1"/>
    <col min="13056" max="13056" width="8.125" customWidth="1"/>
    <col min="13057" max="13057" width="8.75" customWidth="1"/>
    <col min="13058" max="13058" width="11" customWidth="1"/>
    <col min="13059" max="13059" width="2.875" customWidth="1"/>
    <col min="13060" max="13060" width="77.625" customWidth="1"/>
    <col min="13061" max="13061" width="20.875" customWidth="1"/>
    <col min="13311" max="13311" width="2.875" customWidth="1"/>
    <col min="13312" max="13312" width="8.125" customWidth="1"/>
    <col min="13313" max="13313" width="8.75" customWidth="1"/>
    <col min="13314" max="13314" width="11" customWidth="1"/>
    <col min="13315" max="13315" width="2.875" customWidth="1"/>
    <col min="13316" max="13316" width="77.625" customWidth="1"/>
    <col min="13317" max="13317" width="20.875" customWidth="1"/>
    <col min="13567" max="13567" width="2.875" customWidth="1"/>
    <col min="13568" max="13568" width="8.125" customWidth="1"/>
    <col min="13569" max="13569" width="8.75" customWidth="1"/>
    <col min="13570" max="13570" width="11" customWidth="1"/>
    <col min="13571" max="13571" width="2.875" customWidth="1"/>
    <col min="13572" max="13572" width="77.625" customWidth="1"/>
    <col min="13573" max="13573" width="20.875" customWidth="1"/>
    <col min="13823" max="13823" width="2.875" customWidth="1"/>
    <col min="13824" max="13824" width="8.125" customWidth="1"/>
    <col min="13825" max="13825" width="8.75" customWidth="1"/>
    <col min="13826" max="13826" width="11" customWidth="1"/>
    <col min="13827" max="13827" width="2.875" customWidth="1"/>
    <col min="13828" max="13828" width="77.625" customWidth="1"/>
    <col min="13829" max="13829" width="20.875" customWidth="1"/>
    <col min="14079" max="14079" width="2.875" customWidth="1"/>
    <col min="14080" max="14080" width="8.125" customWidth="1"/>
    <col min="14081" max="14081" width="8.75" customWidth="1"/>
    <col min="14082" max="14082" width="11" customWidth="1"/>
    <col min="14083" max="14083" width="2.875" customWidth="1"/>
    <col min="14084" max="14084" width="77.625" customWidth="1"/>
    <col min="14085" max="14085" width="20.875" customWidth="1"/>
    <col min="14335" max="14335" width="2.875" customWidth="1"/>
    <col min="14336" max="14336" width="8.125" customWidth="1"/>
    <col min="14337" max="14337" width="8.75" customWidth="1"/>
    <col min="14338" max="14338" width="11" customWidth="1"/>
    <col min="14339" max="14339" width="2.875" customWidth="1"/>
    <col min="14340" max="14340" width="77.625" customWidth="1"/>
    <col min="14341" max="14341" width="20.875" customWidth="1"/>
    <col min="14591" max="14591" width="2.875" customWidth="1"/>
    <col min="14592" max="14592" width="8.125" customWidth="1"/>
    <col min="14593" max="14593" width="8.75" customWidth="1"/>
    <col min="14594" max="14594" width="11" customWidth="1"/>
    <col min="14595" max="14595" width="2.875" customWidth="1"/>
    <col min="14596" max="14596" width="77.625" customWidth="1"/>
    <col min="14597" max="14597" width="20.875" customWidth="1"/>
    <col min="14847" max="14847" width="2.875" customWidth="1"/>
    <col min="14848" max="14848" width="8.125" customWidth="1"/>
    <col min="14849" max="14849" width="8.75" customWidth="1"/>
    <col min="14850" max="14850" width="11" customWidth="1"/>
    <col min="14851" max="14851" width="2.875" customWidth="1"/>
    <col min="14852" max="14852" width="77.625" customWidth="1"/>
    <col min="14853" max="14853" width="20.875" customWidth="1"/>
    <col min="15103" max="15103" width="2.875" customWidth="1"/>
    <col min="15104" max="15104" width="8.125" customWidth="1"/>
    <col min="15105" max="15105" width="8.75" customWidth="1"/>
    <col min="15106" max="15106" width="11" customWidth="1"/>
    <col min="15107" max="15107" width="2.875" customWidth="1"/>
    <col min="15108" max="15108" width="77.625" customWidth="1"/>
    <col min="15109" max="15109" width="20.875" customWidth="1"/>
    <col min="15359" max="15359" width="2.875" customWidth="1"/>
    <col min="15360" max="15360" width="8.125" customWidth="1"/>
    <col min="15361" max="15361" width="8.75" customWidth="1"/>
    <col min="15362" max="15362" width="11" customWidth="1"/>
    <col min="15363" max="15363" width="2.875" customWidth="1"/>
    <col min="15364" max="15364" width="77.625" customWidth="1"/>
    <col min="15365" max="15365" width="20.875" customWidth="1"/>
    <col min="15615" max="15615" width="2.875" customWidth="1"/>
    <col min="15616" max="15616" width="8.125" customWidth="1"/>
    <col min="15617" max="15617" width="8.75" customWidth="1"/>
    <col min="15618" max="15618" width="11" customWidth="1"/>
    <col min="15619" max="15619" width="2.875" customWidth="1"/>
    <col min="15620" max="15620" width="77.625" customWidth="1"/>
    <col min="15621" max="15621" width="20.875" customWidth="1"/>
    <col min="15871" max="15871" width="2.875" customWidth="1"/>
    <col min="15872" max="15872" width="8.125" customWidth="1"/>
    <col min="15873" max="15873" width="8.75" customWidth="1"/>
    <col min="15874" max="15874" width="11" customWidth="1"/>
    <col min="15875" max="15875" width="2.875" customWidth="1"/>
    <col min="15876" max="15876" width="77.625" customWidth="1"/>
    <col min="15877" max="15877" width="20.875" customWidth="1"/>
    <col min="16127" max="16127" width="2.875" customWidth="1"/>
    <col min="16128" max="16128" width="8.125" customWidth="1"/>
    <col min="16129" max="16129" width="8.75" customWidth="1"/>
    <col min="16130" max="16130" width="11" customWidth="1"/>
    <col min="16131" max="16131" width="2.875" customWidth="1"/>
    <col min="16132" max="16132" width="77.625" customWidth="1"/>
    <col min="16133" max="16133" width="20.875" customWidth="1"/>
  </cols>
  <sheetData>
    <row r="1" spans="1:18" ht="22.5" customHeight="1" x14ac:dyDescent="0.4">
      <c r="A1" s="34" t="s">
        <v>0</v>
      </c>
      <c r="B1" s="35"/>
      <c r="C1" s="36"/>
      <c r="D1" s="36"/>
      <c r="E1" s="36"/>
      <c r="F1" s="35"/>
      <c r="G1" s="148"/>
      <c r="H1" s="35"/>
      <c r="I1" s="35"/>
      <c r="J1" s="35"/>
      <c r="K1" s="35"/>
      <c r="L1" s="35"/>
      <c r="M1" s="35"/>
      <c r="N1" s="35"/>
      <c r="O1" s="35"/>
      <c r="P1" s="35"/>
      <c r="Q1" s="35"/>
    </row>
    <row r="2" spans="1:18" ht="22.5" customHeight="1" x14ac:dyDescent="0.4">
      <c r="A2" s="34" t="s">
        <v>100</v>
      </c>
      <c r="B2" s="35"/>
      <c r="C2" s="36"/>
      <c r="D2" s="36"/>
      <c r="E2" s="36"/>
      <c r="F2" s="35"/>
      <c r="G2" s="148"/>
      <c r="H2" s="35"/>
      <c r="I2" s="35"/>
      <c r="J2" s="35"/>
      <c r="K2" s="35"/>
      <c r="L2" s="35"/>
      <c r="M2" s="35"/>
      <c r="N2" s="35"/>
      <c r="O2" s="35"/>
      <c r="P2" s="35"/>
      <c r="Q2" s="35"/>
    </row>
    <row r="3" spans="1:18" ht="21.75" customHeight="1" x14ac:dyDescent="0.4">
      <c r="A3" s="34" t="str">
        <f>'August''25 State of Activities'!B3</f>
        <v>Eight Months Ended August 31, 2025 and August 31, 2024</v>
      </c>
      <c r="B3" s="35"/>
      <c r="C3" s="36"/>
      <c r="D3" s="36"/>
      <c r="E3" s="36"/>
      <c r="F3" s="35"/>
      <c r="G3" s="148"/>
      <c r="H3" s="35"/>
      <c r="I3" s="35"/>
      <c r="J3" s="35"/>
      <c r="K3" s="35"/>
      <c r="L3" s="35"/>
      <c r="M3" s="35"/>
      <c r="N3" s="35"/>
      <c r="O3" s="35"/>
      <c r="P3" s="35"/>
      <c r="Q3" s="35"/>
    </row>
    <row r="4" spans="1:18" ht="22.5" customHeight="1" x14ac:dyDescent="0.4">
      <c r="A4" s="34">
        <f>'August''25 State of Activities'!B4</f>
        <v>0</v>
      </c>
      <c r="B4" s="35"/>
      <c r="C4" s="36"/>
      <c r="D4" s="36"/>
      <c r="E4" s="36"/>
      <c r="F4" s="35"/>
      <c r="G4" s="148"/>
      <c r="H4" s="35"/>
      <c r="I4" s="35"/>
      <c r="J4" s="35"/>
      <c r="K4" s="35"/>
      <c r="L4" s="35"/>
      <c r="M4" s="35"/>
      <c r="N4" s="35"/>
      <c r="O4" s="35"/>
      <c r="P4" s="35"/>
      <c r="Q4" s="35"/>
    </row>
    <row r="5" spans="1:18" s="38" customFormat="1" ht="8.25" customHeight="1" thickBot="1" x14ac:dyDescent="0.25">
      <c r="A5" s="37"/>
      <c r="B5" s="37"/>
      <c r="C5" s="37"/>
      <c r="D5" s="37"/>
      <c r="E5" s="37"/>
      <c r="F5" s="37"/>
      <c r="G5" s="149"/>
      <c r="R5" s="470"/>
    </row>
    <row r="6" spans="1:18" s="41" customFormat="1" ht="24.75" customHeight="1" thickTop="1" thickBot="1" x14ac:dyDescent="0.25">
      <c r="A6" s="39" t="s">
        <v>3</v>
      </c>
      <c r="B6" s="39"/>
      <c r="C6" s="39"/>
      <c r="D6" s="39"/>
      <c r="E6" s="39"/>
      <c r="F6" s="39"/>
      <c r="G6" s="267"/>
      <c r="H6" s="156" t="s">
        <v>4</v>
      </c>
      <c r="I6" s="156"/>
      <c r="J6" s="812" t="s">
        <v>4</v>
      </c>
      <c r="K6" s="812"/>
      <c r="L6" s="812"/>
      <c r="M6" s="812"/>
      <c r="N6" s="40"/>
      <c r="O6" s="275" t="s">
        <v>5</v>
      </c>
      <c r="P6" s="272" t="s">
        <v>6</v>
      </c>
      <c r="Q6" s="40"/>
      <c r="R6" s="471"/>
    </row>
    <row r="7" spans="1:18" s="43" customFormat="1" ht="8.25" customHeight="1" thickTop="1" x14ac:dyDescent="0.2">
      <c r="A7" s="42"/>
      <c r="B7" s="42"/>
      <c r="C7" s="42"/>
      <c r="D7" s="42"/>
      <c r="E7" s="42"/>
      <c r="F7" s="42"/>
      <c r="G7" s="150"/>
      <c r="R7" s="471"/>
    </row>
    <row r="8" spans="1:18" ht="21" thickBot="1" x14ac:dyDescent="0.35">
      <c r="A8" s="44"/>
      <c r="B8" s="97" t="s">
        <v>7</v>
      </c>
      <c r="C8" s="97"/>
      <c r="D8" s="97"/>
      <c r="E8" s="97"/>
      <c r="F8" s="97"/>
      <c r="G8" s="186">
        <v>41090</v>
      </c>
      <c r="H8" s="186">
        <v>41274</v>
      </c>
      <c r="I8" s="223"/>
      <c r="J8" s="186" t="str">
        <f>'August''25 State of Activities'!H8</f>
        <v>August 31 2025</v>
      </c>
      <c r="K8" s="443">
        <f>'August''25 State of Activities'!I8</f>
        <v>45657</v>
      </c>
      <c r="L8" s="223"/>
      <c r="M8" s="443" t="str">
        <f>'August''25 State of Activities'!K8</f>
        <v>August 31 2024</v>
      </c>
      <c r="O8" s="884" t="s">
        <v>772</v>
      </c>
      <c r="P8" s="884"/>
    </row>
    <row r="9" spans="1:18" s="43" customFormat="1" x14ac:dyDescent="0.2">
      <c r="A9" s="42"/>
      <c r="B9" s="42"/>
      <c r="C9" s="46" t="s">
        <v>14</v>
      </c>
      <c r="D9" s="46"/>
      <c r="E9" s="46"/>
      <c r="F9" s="42"/>
      <c r="G9" s="150">
        <v>127719</v>
      </c>
      <c r="H9" s="150">
        <v>67566.5</v>
      </c>
      <c r="I9" s="150"/>
      <c r="J9" s="159">
        <v>41504.339999999997</v>
      </c>
      <c r="K9" s="159">
        <v>158721</v>
      </c>
      <c r="L9" s="159"/>
      <c r="M9" s="159">
        <v>78675.460000000006</v>
      </c>
      <c r="O9" s="260">
        <f>J9-M9</f>
        <v>-37171.12000000001</v>
      </c>
      <c r="P9" s="273">
        <f>O9/M9</f>
        <v>-0.47246142571012623</v>
      </c>
      <c r="R9" s="471"/>
    </row>
    <row r="10" spans="1:18" s="43" customFormat="1" x14ac:dyDescent="0.2">
      <c r="A10" s="42"/>
      <c r="B10" s="42"/>
      <c r="C10" s="46" t="s">
        <v>102</v>
      </c>
      <c r="D10" s="46"/>
      <c r="E10" s="46"/>
      <c r="F10" s="42"/>
      <c r="G10" s="159">
        <v>875436</v>
      </c>
      <c r="H10" s="159">
        <v>372424.1</v>
      </c>
      <c r="I10" s="159"/>
      <c r="J10" s="150"/>
      <c r="K10" s="150">
        <v>12278.42</v>
      </c>
      <c r="L10" s="159"/>
      <c r="M10" s="150"/>
      <c r="O10" s="334">
        <f>J10-M10</f>
        <v>0</v>
      </c>
      <c r="P10" s="287" t="e">
        <f>O10/M10</f>
        <v>#DIV/0!</v>
      </c>
      <c r="R10" s="471"/>
    </row>
    <row r="11" spans="1:18" s="43" customFormat="1" x14ac:dyDescent="0.2">
      <c r="A11" s="42"/>
      <c r="B11" s="42"/>
      <c r="C11" s="46" t="s">
        <v>103</v>
      </c>
      <c r="D11" s="46"/>
      <c r="E11" s="46"/>
      <c r="F11" s="42"/>
      <c r="G11" s="159"/>
      <c r="H11" s="159"/>
      <c r="I11" s="159"/>
      <c r="J11" s="150" t="e">
        <f>'August''25 Revenues &amp; Expenses'!#REF!-K11-5010</f>
        <v>#REF!</v>
      </c>
      <c r="K11" s="150">
        <v>10616</v>
      </c>
      <c r="L11" s="159"/>
      <c r="M11" s="150"/>
      <c r="O11" s="334" t="e">
        <f>J11-M11</f>
        <v>#REF!</v>
      </c>
      <c r="P11" s="287"/>
      <c r="R11" s="471"/>
    </row>
    <row r="12" spans="1:18" s="43" customFormat="1" x14ac:dyDescent="0.2">
      <c r="A12" s="42"/>
      <c r="B12" s="42"/>
      <c r="C12" s="46" t="s">
        <v>16</v>
      </c>
      <c r="D12" s="46"/>
      <c r="E12" s="46"/>
      <c r="F12" s="42"/>
      <c r="G12" s="150"/>
      <c r="H12" s="150"/>
      <c r="I12" s="150"/>
      <c r="J12" s="150"/>
      <c r="K12" s="150"/>
      <c r="L12" s="150"/>
      <c r="M12" s="150"/>
      <c r="O12" s="334"/>
      <c r="P12" s="279"/>
      <c r="R12" s="471"/>
    </row>
    <row r="13" spans="1:18" s="43" customFormat="1" x14ac:dyDescent="0.2">
      <c r="A13" s="42"/>
      <c r="B13" s="42"/>
      <c r="D13" s="46" t="s">
        <v>104</v>
      </c>
      <c r="E13" s="46"/>
      <c r="F13" s="42"/>
      <c r="G13" s="150">
        <v>94235.25</v>
      </c>
      <c r="H13" s="150">
        <v>37190.379999999997</v>
      </c>
      <c r="I13" s="150"/>
      <c r="J13" s="150">
        <f>3750*6</f>
        <v>22500</v>
      </c>
      <c r="K13" s="150">
        <f>3708.33*12</f>
        <v>44499.96</v>
      </c>
      <c r="L13" s="150"/>
      <c r="M13" s="150">
        <f>3708.33*4</f>
        <v>14833.32</v>
      </c>
      <c r="O13" s="334">
        <f t="shared" ref="O13:O18" si="0">J13-M13</f>
        <v>7666.68</v>
      </c>
      <c r="P13" s="287">
        <f>O13/M13</f>
        <v>0.51685529604970437</v>
      </c>
      <c r="R13" s="150"/>
    </row>
    <row r="14" spans="1:18" s="43" customFormat="1" x14ac:dyDescent="0.2">
      <c r="A14" s="42"/>
      <c r="B14" s="42"/>
      <c r="D14" s="46" t="s">
        <v>18</v>
      </c>
      <c r="E14" s="46"/>
      <c r="F14" s="42"/>
      <c r="G14" s="150"/>
      <c r="H14" s="150"/>
      <c r="I14" s="150"/>
      <c r="J14" s="150">
        <f>'August''25 State of Activities'!H17</f>
        <v>12000</v>
      </c>
      <c r="K14" s="150">
        <v>13000</v>
      </c>
      <c r="L14" s="150"/>
      <c r="M14" s="150">
        <v>4333.33</v>
      </c>
      <c r="O14" s="334">
        <f t="shared" si="0"/>
        <v>7666.67</v>
      </c>
      <c r="P14" s="287">
        <f>O14/M14</f>
        <v>1.7692328994099227</v>
      </c>
      <c r="R14" s="471">
        <v>7500</v>
      </c>
    </row>
    <row r="15" spans="1:18" s="43" customFormat="1" x14ac:dyDescent="0.2">
      <c r="A15" s="42"/>
      <c r="B15" s="42"/>
      <c r="C15" s="46" t="s">
        <v>105</v>
      </c>
      <c r="D15" s="46"/>
      <c r="E15" s="46"/>
      <c r="F15" s="42"/>
      <c r="G15" s="150">
        <v>0</v>
      </c>
      <c r="H15" s="150">
        <v>3517</v>
      </c>
      <c r="I15" s="150"/>
      <c r="J15" s="150">
        <f>'August''25 State of Activities'!H20</f>
        <v>10108.5</v>
      </c>
      <c r="K15" s="150">
        <f>'August''25 State of Activities'!I20</f>
        <v>20091.96</v>
      </c>
      <c r="L15" s="150"/>
      <c r="M15" s="150">
        <f>'August''25 State of Activities'!K22</f>
        <v>25182.12</v>
      </c>
      <c r="O15" s="334">
        <f t="shared" si="0"/>
        <v>-15073.619999999999</v>
      </c>
      <c r="P15" s="287">
        <f>O15/M15</f>
        <v>-0.59858423357525103</v>
      </c>
      <c r="R15" s="471"/>
    </row>
    <row r="16" spans="1:18" s="43" customFormat="1" x14ac:dyDescent="0.2">
      <c r="A16" s="42"/>
      <c r="B16" s="42"/>
      <c r="C16" s="46" t="s">
        <v>715</v>
      </c>
      <c r="D16" s="46"/>
      <c r="E16" s="46"/>
      <c r="F16" s="42"/>
      <c r="G16" s="150">
        <v>31459</v>
      </c>
      <c r="H16" s="150">
        <v>13920.35</v>
      </c>
      <c r="I16" s="150"/>
      <c r="J16" s="150">
        <f>'August''25 Revenues &amp; Expenses'!I29</f>
        <v>0</v>
      </c>
      <c r="K16" s="150">
        <v>25000</v>
      </c>
      <c r="L16" s="150"/>
      <c r="M16" s="150">
        <v>8153.81</v>
      </c>
      <c r="O16" s="334">
        <f t="shared" si="0"/>
        <v>-8153.81</v>
      </c>
      <c r="P16" s="287">
        <f>O16/M16</f>
        <v>-1</v>
      </c>
      <c r="R16" s="471">
        <v>11805.12</v>
      </c>
    </row>
    <row r="17" spans="1:19" s="43" customFormat="1" x14ac:dyDescent="0.2">
      <c r="A17" s="42"/>
      <c r="B17" s="42"/>
      <c r="C17" s="46" t="s">
        <v>716</v>
      </c>
      <c r="D17" s="46"/>
      <c r="E17" s="46"/>
      <c r="F17" s="42"/>
      <c r="G17" s="150"/>
      <c r="H17" s="150"/>
      <c r="I17" s="150"/>
      <c r="J17" s="150"/>
      <c r="K17" s="150">
        <v>22918.98</v>
      </c>
      <c r="L17" s="150"/>
      <c r="M17" s="150"/>
      <c r="O17" s="334">
        <f t="shared" si="0"/>
        <v>0</v>
      </c>
      <c r="P17" s="287"/>
      <c r="R17" s="471"/>
      <c r="S17" s="261"/>
    </row>
    <row r="18" spans="1:19" s="43" customFormat="1" x14ac:dyDescent="0.2">
      <c r="A18" s="42"/>
      <c r="B18" s="42"/>
      <c r="C18" s="46" t="s">
        <v>754</v>
      </c>
      <c r="D18" s="46"/>
      <c r="E18" s="46"/>
      <c r="F18" s="42"/>
      <c r="G18" s="150"/>
      <c r="H18" s="150"/>
      <c r="I18" s="150"/>
      <c r="J18" s="150" t="e">
        <f>'August''25 Revenues &amp; Expenses'!#REF!</f>
        <v>#REF!</v>
      </c>
      <c r="K18" s="150">
        <v>23967.15</v>
      </c>
      <c r="L18" s="150"/>
      <c r="M18" s="150"/>
      <c r="O18" s="334" t="e">
        <f t="shared" si="0"/>
        <v>#REF!</v>
      </c>
      <c r="P18" s="287"/>
      <c r="R18" s="471"/>
      <c r="S18" s="261"/>
    </row>
    <row r="19" spans="1:19" s="43" customFormat="1" x14ac:dyDescent="0.2">
      <c r="A19" s="42"/>
      <c r="B19" s="42"/>
      <c r="C19" s="46" t="s">
        <v>397</v>
      </c>
      <c r="D19" s="46"/>
      <c r="E19" s="46"/>
      <c r="F19" s="42"/>
      <c r="G19" s="150"/>
      <c r="H19" s="150"/>
      <c r="I19" s="150"/>
      <c r="J19" s="150">
        <f>'August''25 State of Activities'!H11</f>
        <v>0</v>
      </c>
      <c r="K19" s="150">
        <v>1968.5</v>
      </c>
      <c r="L19" s="150"/>
      <c r="M19" s="150">
        <f>2100.03-1250</f>
        <v>850.0300000000002</v>
      </c>
      <c r="O19" s="334">
        <f t="shared" ref="O19:O20" si="1">J19-M19</f>
        <v>-850.0300000000002</v>
      </c>
      <c r="P19" s="287"/>
      <c r="R19" s="471">
        <f>186.59-R20</f>
        <v>162.31</v>
      </c>
      <c r="S19" s="261"/>
    </row>
    <row r="20" spans="1:19" s="43" customFormat="1" x14ac:dyDescent="0.2">
      <c r="A20" s="42"/>
      <c r="B20" s="42"/>
      <c r="C20" s="814" t="s">
        <v>773</v>
      </c>
      <c r="D20" s="814"/>
      <c r="E20" s="814"/>
      <c r="F20" s="814"/>
      <c r="G20" s="150"/>
      <c r="H20" s="150"/>
      <c r="I20" s="150"/>
      <c r="J20" s="150">
        <v>0</v>
      </c>
      <c r="K20" s="150">
        <v>1127.23</v>
      </c>
      <c r="L20" s="150"/>
      <c r="M20" s="150">
        <v>177.19</v>
      </c>
      <c r="O20" s="334">
        <f t="shared" si="1"/>
        <v>-177.19</v>
      </c>
      <c r="P20" s="287"/>
      <c r="R20" s="471">
        <v>24.28</v>
      </c>
      <c r="S20" s="261"/>
    </row>
    <row r="21" spans="1:19" s="43" customFormat="1" x14ac:dyDescent="0.2">
      <c r="A21" s="42"/>
      <c r="B21" s="42"/>
      <c r="C21" s="46" t="s">
        <v>724</v>
      </c>
      <c r="D21" s="46"/>
      <c r="E21" s="46"/>
      <c r="F21" s="42"/>
      <c r="G21" s="150">
        <v>1125</v>
      </c>
      <c r="H21" s="150">
        <v>6050</v>
      </c>
      <c r="I21" s="150"/>
      <c r="J21" s="150" t="e">
        <f>'August''25 State of Activities'!#REF!</f>
        <v>#REF!</v>
      </c>
      <c r="K21" s="150" t="e">
        <f>'August''25 State of Activities'!#REF!</f>
        <v>#REF!</v>
      </c>
      <c r="L21" s="150"/>
      <c r="M21" s="150" t="e">
        <f>'August''25 State of Activities'!#REF!</f>
        <v>#REF!</v>
      </c>
      <c r="O21" s="334" t="e">
        <f>J21-M21</f>
        <v>#REF!</v>
      </c>
      <c r="P21" s="287"/>
      <c r="R21" s="471"/>
    </row>
    <row r="22" spans="1:19" s="43" customFormat="1" ht="21" thickBot="1" x14ac:dyDescent="0.25">
      <c r="A22" s="42"/>
      <c r="B22" s="42"/>
      <c r="C22" s="46" t="s">
        <v>108</v>
      </c>
      <c r="D22" s="46"/>
      <c r="E22" s="46"/>
      <c r="F22" s="42"/>
      <c r="G22" s="157">
        <v>31250</v>
      </c>
      <c r="H22" s="157">
        <v>15624.98</v>
      </c>
      <c r="I22" s="150"/>
      <c r="J22" s="157" t="e">
        <f>'August''25 State of Activities'!#REF!*0.2</f>
        <v>#REF!</v>
      </c>
      <c r="K22" s="157" t="e">
        <f>'August''25 State of Activities'!#REF!*0.2</f>
        <v>#REF!</v>
      </c>
      <c r="L22" s="150"/>
      <c r="M22" s="157" t="e">
        <f>'August''25 State of Activities'!#REF!*0.2</f>
        <v>#REF!</v>
      </c>
      <c r="O22" s="335" t="e">
        <f>J22-M22</f>
        <v>#REF!</v>
      </c>
      <c r="P22" s="274">
        <v>0</v>
      </c>
      <c r="R22" s="471"/>
    </row>
    <row r="23" spans="1:19" s="43" customFormat="1" x14ac:dyDescent="0.2">
      <c r="A23" s="42"/>
      <c r="B23" s="42"/>
      <c r="C23" s="46"/>
      <c r="D23" s="42" t="s">
        <v>33</v>
      </c>
      <c r="E23" s="46"/>
      <c r="F23" s="42"/>
      <c r="G23" s="150">
        <v>1161224.25</v>
      </c>
      <c r="H23" s="150">
        <v>516293.30999999994</v>
      </c>
      <c r="I23" s="150"/>
      <c r="J23" s="150" t="e">
        <f>SUM(J9:J22)</f>
        <v>#REF!</v>
      </c>
      <c r="K23" s="150" t="e">
        <f>SUM(K9:K22)</f>
        <v>#REF!</v>
      </c>
      <c r="L23" s="150"/>
      <c r="M23" s="150" t="e">
        <f>SUM(M9:M22)</f>
        <v>#REF!</v>
      </c>
      <c r="O23" s="181" t="e">
        <f>SUM(O9:O22)</f>
        <v>#REF!</v>
      </c>
      <c r="P23" s="287" t="e">
        <f>O23/M23</f>
        <v>#REF!</v>
      </c>
      <c r="R23" s="471"/>
    </row>
    <row r="24" spans="1:19" s="43" customFormat="1" ht="21" thickBot="1" x14ac:dyDescent="0.25">
      <c r="A24" s="42"/>
      <c r="B24" s="42"/>
      <c r="C24" s="42" t="s">
        <v>109</v>
      </c>
      <c r="D24" s="46"/>
      <c r="E24" s="46"/>
      <c r="F24" s="42"/>
      <c r="G24" s="157">
        <v>150176</v>
      </c>
      <c r="H24" s="157">
        <v>47700.27</v>
      </c>
      <c r="I24" s="150"/>
      <c r="J24" s="150">
        <f>19000/12*6</f>
        <v>9500</v>
      </c>
      <c r="K24" s="150">
        <v>19000</v>
      </c>
      <c r="L24" s="150"/>
      <c r="M24" s="150">
        <v>6333</v>
      </c>
      <c r="O24" s="334">
        <f>J24-M24</f>
        <v>3167</v>
      </c>
      <c r="P24" s="273">
        <f>O24/M24</f>
        <v>0.50007895152376436</v>
      </c>
      <c r="R24" s="150"/>
    </row>
    <row r="25" spans="1:19" s="43" customFormat="1" ht="21" thickBot="1" x14ac:dyDescent="0.25">
      <c r="A25" s="42"/>
      <c r="B25" s="42"/>
      <c r="C25" s="42" t="s">
        <v>110</v>
      </c>
      <c r="D25" s="46"/>
      <c r="E25" s="46"/>
      <c r="F25" s="42"/>
      <c r="G25" s="150"/>
      <c r="H25" s="150"/>
      <c r="I25" s="150"/>
      <c r="J25" s="157">
        <v>13582.02</v>
      </c>
      <c r="K25" s="157">
        <v>37834.400000000001</v>
      </c>
      <c r="L25" s="150"/>
      <c r="M25" s="157">
        <v>14484</v>
      </c>
      <c r="O25" s="259">
        <f>J25-M25</f>
        <v>-901.97999999999956</v>
      </c>
      <c r="P25" s="311">
        <f>O25/M25</f>
        <v>-6.2274233637116788E-2</v>
      </c>
      <c r="R25" s="471"/>
    </row>
    <row r="26" spans="1:19" s="43" customFormat="1" x14ac:dyDescent="0.2">
      <c r="A26" s="42"/>
      <c r="B26" s="42"/>
      <c r="C26" s="46"/>
      <c r="D26" s="42" t="s">
        <v>111</v>
      </c>
      <c r="E26" s="46"/>
      <c r="F26" s="42"/>
      <c r="G26" s="150">
        <v>1311400.25</v>
      </c>
      <c r="H26" s="150">
        <v>563993.57999999996</v>
      </c>
      <c r="I26" s="150"/>
      <c r="J26" s="150" t="e">
        <f>SUM(J23:J25)</f>
        <v>#REF!</v>
      </c>
      <c r="K26" s="150" t="e">
        <f>SUM(K23:K25)</f>
        <v>#REF!</v>
      </c>
      <c r="L26" s="150"/>
      <c r="M26" s="150" t="e">
        <f>SUM(M23:M25)</f>
        <v>#REF!</v>
      </c>
      <c r="O26" s="181" t="e">
        <f>J26-M26</f>
        <v>#REF!</v>
      </c>
      <c r="P26" s="287" t="e">
        <f>O26/M26</f>
        <v>#REF!</v>
      </c>
      <c r="R26" s="471"/>
    </row>
    <row r="27" spans="1:19" s="43" customFormat="1" x14ac:dyDescent="0.2">
      <c r="A27" s="42"/>
      <c r="B27" s="42"/>
      <c r="C27" s="46"/>
      <c r="D27" s="42"/>
      <c r="E27" s="46"/>
      <c r="F27" s="42"/>
      <c r="G27" s="150"/>
      <c r="H27" s="150"/>
      <c r="I27" s="150"/>
      <c r="J27" s="150"/>
      <c r="K27" s="400"/>
      <c r="L27" s="150"/>
      <c r="M27" s="150"/>
      <c r="R27" s="471"/>
    </row>
    <row r="28" spans="1:19" s="43" customFormat="1" ht="21" thickBot="1" x14ac:dyDescent="0.25">
      <c r="A28" s="42"/>
      <c r="B28" s="54" t="s">
        <v>34</v>
      </c>
      <c r="C28" s="54"/>
      <c r="D28" s="54"/>
      <c r="E28" s="54"/>
      <c r="F28" s="54"/>
      <c r="G28" s="157"/>
      <c r="J28" s="150"/>
      <c r="R28" s="471"/>
    </row>
    <row r="29" spans="1:19" s="43" customFormat="1" x14ac:dyDescent="0.2">
      <c r="A29" s="42"/>
      <c r="B29" s="42"/>
      <c r="C29" s="46" t="s">
        <v>114</v>
      </c>
      <c r="D29" s="46"/>
      <c r="E29" s="46"/>
      <c r="F29" s="46"/>
      <c r="G29" s="150">
        <v>733747.79999999993</v>
      </c>
      <c r="H29" s="181">
        <v>361976</v>
      </c>
      <c r="I29" s="181"/>
      <c r="J29" s="150"/>
      <c r="K29" s="181"/>
      <c r="L29" s="181"/>
      <c r="M29" s="181"/>
      <c r="R29" s="471"/>
    </row>
    <row r="30" spans="1:19" s="43" customFormat="1" x14ac:dyDescent="0.2">
      <c r="A30" s="42"/>
      <c r="B30" s="42"/>
      <c r="C30" s="46"/>
      <c r="D30" s="814" t="s">
        <v>115</v>
      </c>
      <c r="E30" s="814"/>
      <c r="F30" s="814"/>
      <c r="G30" s="150"/>
      <c r="H30" s="181"/>
      <c r="I30" s="181"/>
      <c r="J30" s="150">
        <v>64964.65</v>
      </c>
      <c r="K30" s="150">
        <v>162253.75</v>
      </c>
      <c r="L30" s="181"/>
      <c r="M30" s="150">
        <v>82702.42</v>
      </c>
      <c r="O30" s="181">
        <f t="shared" ref="O30:O50" si="2">J30-M30</f>
        <v>-17737.769999999997</v>
      </c>
      <c r="P30" s="287">
        <f>O30/M30</f>
        <v>-0.21447703706856458</v>
      </c>
      <c r="R30" s="471">
        <f>J30</f>
        <v>64964.65</v>
      </c>
    </row>
    <row r="31" spans="1:19" s="43" customFormat="1" x14ac:dyDescent="0.2">
      <c r="A31" s="42"/>
      <c r="B31" s="42"/>
      <c r="C31" s="46"/>
      <c r="D31" s="814" t="s">
        <v>117</v>
      </c>
      <c r="E31" s="814"/>
      <c r="F31" s="814"/>
      <c r="G31" s="150"/>
      <c r="H31" s="181"/>
      <c r="I31" s="181"/>
      <c r="J31" s="150">
        <f>23219.46+7406.6</f>
        <v>30626.059999999998</v>
      </c>
      <c r="K31" s="150">
        <f>37966.12+23862.63+605.03+106.59</f>
        <v>62540.369999999995</v>
      </c>
      <c r="L31" s="181"/>
      <c r="M31" s="150">
        <f>18368.1+11845.56</f>
        <v>30213.659999999996</v>
      </c>
      <c r="O31" s="181">
        <f t="shared" si="2"/>
        <v>412.40000000000146</v>
      </c>
      <c r="P31" s="287">
        <f>O31/M31</f>
        <v>1.3649455246401843E-2</v>
      </c>
      <c r="R31" s="471">
        <f>J31</f>
        <v>30626.059999999998</v>
      </c>
    </row>
    <row r="32" spans="1:19" s="43" customFormat="1" x14ac:dyDescent="0.2">
      <c r="A32" s="42"/>
      <c r="B32" s="42"/>
      <c r="C32" s="46"/>
      <c r="D32" s="814" t="s">
        <v>36</v>
      </c>
      <c r="E32" s="814"/>
      <c r="F32" s="814"/>
      <c r="G32" s="150"/>
      <c r="H32" s="181"/>
      <c r="I32" s="181"/>
      <c r="J32" s="150">
        <v>15442.94</v>
      </c>
      <c r="K32" s="150">
        <v>42279.58</v>
      </c>
      <c r="L32" s="181"/>
      <c r="M32" s="150">
        <f>(M30+M31)*0.18</f>
        <v>20324.894399999997</v>
      </c>
      <c r="O32" s="181">
        <f t="shared" si="2"/>
        <v>-4881.9543999999969</v>
      </c>
      <c r="P32" s="287">
        <f>O32/M32</f>
        <v>-0.24019580638017965</v>
      </c>
      <c r="R32" s="161">
        <f>J32</f>
        <v>15442.94</v>
      </c>
    </row>
    <row r="33" spans="1:19" s="43" customFormat="1" x14ac:dyDescent="0.2">
      <c r="A33" s="42"/>
      <c r="B33" s="42"/>
      <c r="C33" s="46" t="s">
        <v>118</v>
      </c>
      <c r="D33" s="46"/>
      <c r="E33" s="46"/>
      <c r="F33" s="46"/>
      <c r="G33" s="150">
        <v>44745.18</v>
      </c>
      <c r="H33" s="150">
        <v>20974.21</v>
      </c>
      <c r="I33" s="150"/>
      <c r="J33" s="150"/>
      <c r="K33" s="400"/>
      <c r="L33" s="150"/>
      <c r="M33" s="400"/>
      <c r="O33" s="181">
        <f t="shared" si="2"/>
        <v>0</v>
      </c>
      <c r="P33" s="287"/>
      <c r="R33" s="471"/>
      <c r="S33" s="43">
        <f>R32/(R30+R31)</f>
        <v>0.16155272829336662</v>
      </c>
    </row>
    <row r="34" spans="1:19" s="43" customFormat="1" x14ac:dyDescent="0.2">
      <c r="A34" s="42"/>
      <c r="B34" s="42"/>
      <c r="C34" s="46"/>
      <c r="D34" s="814" t="s">
        <v>119</v>
      </c>
      <c r="E34" s="814"/>
      <c r="F34" s="814"/>
      <c r="G34" s="150"/>
      <c r="H34" s="150"/>
      <c r="I34" s="150"/>
      <c r="J34" s="150">
        <v>7876.42</v>
      </c>
      <c r="K34" s="150">
        <v>25472.83</v>
      </c>
      <c r="L34" s="150"/>
      <c r="M34" s="150">
        <v>8106.06</v>
      </c>
      <c r="O34" s="181">
        <f t="shared" si="2"/>
        <v>-229.64000000000033</v>
      </c>
      <c r="P34" s="287">
        <f t="shared" ref="P34:P41" si="3">O34/M34</f>
        <v>-2.832942267883538E-2</v>
      </c>
      <c r="R34" s="471">
        <v>7876.42</v>
      </c>
    </row>
    <row r="35" spans="1:19" s="43" customFormat="1" x14ac:dyDescent="0.2">
      <c r="A35" s="42"/>
      <c r="B35" s="42"/>
      <c r="C35" s="46"/>
      <c r="D35" s="814" t="s">
        <v>120</v>
      </c>
      <c r="E35" s="814"/>
      <c r="F35" s="814"/>
      <c r="G35" s="150"/>
      <c r="H35" s="150"/>
      <c r="I35" s="150"/>
      <c r="J35" s="150">
        <v>11303.34</v>
      </c>
      <c r="K35" s="150">
        <v>17989.87</v>
      </c>
      <c r="L35" s="150"/>
      <c r="M35" s="150">
        <v>5932.49</v>
      </c>
      <c r="O35" s="181">
        <f t="shared" si="2"/>
        <v>5370.85</v>
      </c>
      <c r="P35" s="287">
        <f t="shared" si="3"/>
        <v>0.90532811686155401</v>
      </c>
      <c r="R35" s="471">
        <v>11303.34</v>
      </c>
    </row>
    <row r="36" spans="1:19" s="43" customFormat="1" x14ac:dyDescent="0.2">
      <c r="A36" s="42"/>
      <c r="B36" s="42"/>
      <c r="C36" s="46"/>
      <c r="D36" s="814" t="s">
        <v>121</v>
      </c>
      <c r="E36" s="814"/>
      <c r="F36" s="814"/>
      <c r="G36" s="150"/>
      <c r="H36" s="150"/>
      <c r="I36" s="150"/>
      <c r="J36" s="150">
        <v>11898.19</v>
      </c>
      <c r="K36" s="150">
        <v>16090.9</v>
      </c>
      <c r="L36" s="150"/>
      <c r="M36" s="150">
        <v>7105.84</v>
      </c>
      <c r="O36" s="181">
        <f t="shared" si="2"/>
        <v>4792.3500000000004</v>
      </c>
      <c r="P36" s="287">
        <f t="shared" si="3"/>
        <v>0.6744241356405436</v>
      </c>
      <c r="R36" s="471">
        <v>11898.19</v>
      </c>
    </row>
    <row r="37" spans="1:19" s="43" customFormat="1" x14ac:dyDescent="0.2">
      <c r="A37" s="42"/>
      <c r="B37" s="42"/>
      <c r="C37" s="46"/>
      <c r="D37" s="814" t="s">
        <v>122</v>
      </c>
      <c r="E37" s="814"/>
      <c r="F37" s="814"/>
      <c r="G37" s="150"/>
      <c r="H37" s="150"/>
      <c r="I37" s="150"/>
      <c r="J37" s="150">
        <v>307</v>
      </c>
      <c r="K37" s="150">
        <v>1427.75</v>
      </c>
      <c r="L37" s="150"/>
      <c r="M37" s="150">
        <v>79</v>
      </c>
      <c r="O37" s="181">
        <f t="shared" si="2"/>
        <v>228</v>
      </c>
      <c r="P37" s="287">
        <f t="shared" si="3"/>
        <v>2.8860759493670884</v>
      </c>
      <c r="R37" s="471">
        <v>307</v>
      </c>
    </row>
    <row r="38" spans="1:19" s="43" customFormat="1" x14ac:dyDescent="0.2">
      <c r="A38" s="42"/>
      <c r="B38" s="42"/>
      <c r="C38" s="46" t="s">
        <v>774</v>
      </c>
      <c r="D38" s="46"/>
      <c r="E38" s="46"/>
      <c r="F38" s="46"/>
      <c r="G38" s="150">
        <v>27200</v>
      </c>
      <c r="H38" s="150">
        <v>11327</v>
      </c>
      <c r="I38" s="150"/>
      <c r="J38" s="150">
        <v>15180</v>
      </c>
      <c r="K38" s="150">
        <f>22438.68+1591</f>
        <v>24029.68</v>
      </c>
      <c r="L38" s="150"/>
      <c r="M38" s="150">
        <f>530.32+7060.24</f>
        <v>7590.5599999999995</v>
      </c>
      <c r="O38" s="181">
        <f t="shared" si="2"/>
        <v>7589.4400000000005</v>
      </c>
      <c r="P38" s="287">
        <f t="shared" si="3"/>
        <v>0.99985244830420961</v>
      </c>
      <c r="R38" s="471">
        <f>930+14250</f>
        <v>15180</v>
      </c>
    </row>
    <row r="39" spans="1:19" s="43" customFormat="1" x14ac:dyDescent="0.2">
      <c r="A39" s="42"/>
      <c r="B39" s="42"/>
      <c r="C39" s="46" t="s">
        <v>38</v>
      </c>
      <c r="D39" s="46"/>
      <c r="E39" s="46"/>
      <c r="F39" s="46"/>
      <c r="G39" s="150">
        <v>150176</v>
      </c>
      <c r="H39" s="181">
        <v>47700.27</v>
      </c>
      <c r="I39" s="181"/>
      <c r="J39" s="150" t="e">
        <f>J22</f>
        <v>#REF!</v>
      </c>
      <c r="K39" s="150" t="e">
        <f>K22</f>
        <v>#REF!</v>
      </c>
      <c r="L39" s="181"/>
      <c r="M39" s="150" t="e">
        <f>M22</f>
        <v>#REF!</v>
      </c>
      <c r="O39" s="181" t="e">
        <f t="shared" si="2"/>
        <v>#REF!</v>
      </c>
      <c r="P39" s="287" t="e">
        <f t="shared" si="3"/>
        <v>#REF!</v>
      </c>
      <c r="R39" s="471"/>
    </row>
    <row r="40" spans="1:19" s="43" customFormat="1" x14ac:dyDescent="0.2">
      <c r="A40" s="42"/>
      <c r="B40" s="42"/>
      <c r="C40" s="46" t="s">
        <v>124</v>
      </c>
      <c r="D40" s="46"/>
      <c r="E40" s="46"/>
      <c r="F40" s="46"/>
      <c r="G40" s="150"/>
      <c r="H40" s="181"/>
      <c r="I40" s="181"/>
      <c r="J40" s="150">
        <f>1268+392</f>
        <v>1660</v>
      </c>
      <c r="K40" s="150">
        <v>4497</v>
      </c>
      <c r="L40" s="181"/>
      <c r="M40" s="150">
        <v>1388</v>
      </c>
      <c r="O40" s="181">
        <f t="shared" si="2"/>
        <v>272</v>
      </c>
      <c r="P40" s="287">
        <f t="shared" si="3"/>
        <v>0.19596541786743515</v>
      </c>
      <c r="R40" s="471">
        <v>2437</v>
      </c>
    </row>
    <row r="41" spans="1:19" s="43" customFormat="1" x14ac:dyDescent="0.2">
      <c r="A41" s="42"/>
      <c r="B41" s="42"/>
      <c r="C41" s="46" t="s">
        <v>125</v>
      </c>
      <c r="D41" s="46"/>
      <c r="E41" s="46"/>
      <c r="F41" s="46"/>
      <c r="G41" s="150"/>
      <c r="H41" s="181"/>
      <c r="I41" s="181"/>
      <c r="J41" s="150">
        <v>954</v>
      </c>
      <c r="K41" s="150">
        <f>75+874</f>
        <v>949</v>
      </c>
      <c r="L41" s="181"/>
      <c r="M41" s="150">
        <f>393+75</f>
        <v>468</v>
      </c>
      <c r="O41" s="181">
        <f t="shared" si="2"/>
        <v>486</v>
      </c>
      <c r="P41" s="287">
        <f t="shared" si="3"/>
        <v>1.0384615384615385</v>
      </c>
      <c r="R41" s="471">
        <f>105+877</f>
        <v>982</v>
      </c>
      <c r="S41" s="467">
        <f>R41</f>
        <v>982</v>
      </c>
    </row>
    <row r="42" spans="1:19" s="43" customFormat="1" x14ac:dyDescent="0.2">
      <c r="A42" s="42"/>
      <c r="B42" s="42"/>
      <c r="C42" s="46" t="s">
        <v>126</v>
      </c>
      <c r="D42" s="46"/>
      <c r="E42" s="46"/>
      <c r="F42" s="46"/>
      <c r="G42" s="150">
        <v>10993.12</v>
      </c>
      <c r="H42" s="181">
        <v>4904.57</v>
      </c>
      <c r="I42" s="181"/>
      <c r="J42" s="150">
        <f>1600.82+472.16</f>
        <v>2072.98</v>
      </c>
      <c r="K42" s="150">
        <v>4436.1400000000003</v>
      </c>
      <c r="L42" s="181"/>
      <c r="M42" s="150">
        <f>18.18+1152.17</f>
        <v>1170.3500000000001</v>
      </c>
      <c r="O42" s="181">
        <f t="shared" si="2"/>
        <v>902.62999999999988</v>
      </c>
      <c r="P42" s="287">
        <f>O42/M42</f>
        <v>0.77124791728969944</v>
      </c>
      <c r="R42" s="471">
        <f>757.49+3120.83+26.18</f>
        <v>3904.4999999999995</v>
      </c>
    </row>
    <row r="43" spans="1:19" s="43" customFormat="1" x14ac:dyDescent="0.2">
      <c r="A43" s="42"/>
      <c r="B43" s="42"/>
      <c r="C43" s="46" t="s">
        <v>127</v>
      </c>
      <c r="D43" s="46"/>
      <c r="E43" s="46"/>
      <c r="F43" s="46"/>
      <c r="G43" s="150">
        <v>10250.949999999999</v>
      </c>
      <c r="H43" s="181">
        <v>3982.99</v>
      </c>
      <c r="I43" s="181"/>
      <c r="J43" s="150">
        <f>41.5+32.88</f>
        <v>74.38</v>
      </c>
      <c r="K43" s="150">
        <f>223.01+568.51</f>
        <v>791.52</v>
      </c>
      <c r="L43" s="181"/>
      <c r="M43" s="150">
        <f>11.58+94.37+34.1+4.4</f>
        <v>144.45000000000002</v>
      </c>
      <c r="O43" s="181">
        <f t="shared" si="2"/>
        <v>-70.070000000000022</v>
      </c>
      <c r="P43" s="287">
        <f>O43/M43</f>
        <v>-0.48508134302526834</v>
      </c>
      <c r="R43" s="471">
        <f>9.2+72.5+8.53+225.13</f>
        <v>315.36</v>
      </c>
      <c r="S43" s="467">
        <f>R43</f>
        <v>315.36</v>
      </c>
    </row>
    <row r="44" spans="1:19" s="43" customFormat="1" x14ac:dyDescent="0.2">
      <c r="A44" s="42"/>
      <c r="B44" s="42"/>
      <c r="C44" s="46" t="s">
        <v>48</v>
      </c>
      <c r="D44" s="46"/>
      <c r="E44" s="46"/>
      <c r="F44" s="46"/>
      <c r="G44" s="150">
        <v>4412.53</v>
      </c>
      <c r="H44" s="182">
        <v>5667</v>
      </c>
      <c r="I44" s="182"/>
      <c r="J44" s="150">
        <f>473.98+380.58+21.4+125</f>
        <v>1000.9599999999999</v>
      </c>
      <c r="K44" s="150">
        <v>1826.56</v>
      </c>
      <c r="L44" s="182"/>
      <c r="M44" s="150">
        <f>72.06+953.27</f>
        <v>1025.33</v>
      </c>
      <c r="O44" s="181">
        <f t="shared" si="2"/>
        <v>-24.370000000000005</v>
      </c>
      <c r="P44" s="287">
        <f>O44/M44</f>
        <v>-2.3767957633152259E-2</v>
      </c>
      <c r="R44" s="471">
        <f>108.49+189+1123.3</f>
        <v>1420.79</v>
      </c>
    </row>
    <row r="45" spans="1:19" s="43" customFormat="1" x14ac:dyDescent="0.2">
      <c r="A45" s="42"/>
      <c r="B45" s="42"/>
      <c r="C45" s="46" t="s">
        <v>44</v>
      </c>
      <c r="D45" s="46"/>
      <c r="E45" s="46"/>
      <c r="F45" s="46"/>
      <c r="G45" s="150">
        <v>7901</v>
      </c>
      <c r="H45" s="181">
        <v>4149.6000000000004</v>
      </c>
      <c r="I45" s="181"/>
      <c r="J45" s="150">
        <f>84.85+28.27</f>
        <v>113.11999999999999</v>
      </c>
      <c r="K45" s="150">
        <v>396.82</v>
      </c>
      <c r="L45" s="181"/>
      <c r="M45" s="150">
        <f>150.1</f>
        <v>150.1</v>
      </c>
      <c r="O45" s="181">
        <f t="shared" si="2"/>
        <v>-36.980000000000004</v>
      </c>
      <c r="P45" s="287">
        <f>O45/M45</f>
        <v>-0.24636908727514994</v>
      </c>
      <c r="R45" s="471">
        <f>0.1+152.24</f>
        <v>152.34</v>
      </c>
      <c r="S45" s="467">
        <f>R45</f>
        <v>152.34</v>
      </c>
    </row>
    <row r="46" spans="1:19" s="43" customFormat="1" hidden="1" x14ac:dyDescent="0.2">
      <c r="A46" s="42"/>
      <c r="B46" s="42"/>
      <c r="C46" s="46" t="s">
        <v>128</v>
      </c>
      <c r="D46" s="46"/>
      <c r="E46" s="46"/>
      <c r="F46" s="46"/>
      <c r="G46" s="150"/>
      <c r="H46" s="181"/>
      <c r="I46" s="181"/>
      <c r="J46" s="150"/>
      <c r="K46" s="150"/>
      <c r="L46" s="181"/>
      <c r="M46" s="150"/>
      <c r="O46" s="181">
        <f t="shared" si="2"/>
        <v>0</v>
      </c>
      <c r="P46" s="287"/>
      <c r="R46" s="471"/>
    </row>
    <row r="47" spans="1:19" s="43" customFormat="1" x14ac:dyDescent="0.2">
      <c r="A47" s="46"/>
      <c r="B47" s="46"/>
      <c r="C47" s="46" t="s">
        <v>40</v>
      </c>
      <c r="D47" s="46"/>
      <c r="E47" s="46"/>
      <c r="F47" s="46"/>
      <c r="G47" s="150">
        <v>5428.37</v>
      </c>
      <c r="H47" s="181">
        <v>2024.52</v>
      </c>
      <c r="I47" s="181"/>
      <c r="J47" s="150">
        <f>144.57+13.67</f>
        <v>158.23999999999998</v>
      </c>
      <c r="K47" s="150">
        <v>422.62</v>
      </c>
      <c r="L47" s="181"/>
      <c r="M47" s="150">
        <v>151.52000000000001</v>
      </c>
      <c r="O47" s="181">
        <f t="shared" si="2"/>
        <v>6.7199999999999704</v>
      </c>
      <c r="P47" s="287">
        <f>O47/M47</f>
        <v>4.4350580781414795E-2</v>
      </c>
      <c r="R47" s="471">
        <v>207.91</v>
      </c>
    </row>
    <row r="48" spans="1:19" s="43" customFormat="1" x14ac:dyDescent="0.2">
      <c r="A48" s="46"/>
      <c r="B48" s="46"/>
      <c r="C48" s="46" t="s">
        <v>129</v>
      </c>
      <c r="D48" s="46"/>
      <c r="E48" s="46"/>
      <c r="F48" s="46"/>
      <c r="G48" s="150">
        <v>83462.91</v>
      </c>
      <c r="H48" s="150">
        <v>18995.71</v>
      </c>
      <c r="I48" s="150"/>
      <c r="J48" s="152">
        <f>43.18+110</f>
        <v>153.18</v>
      </c>
      <c r="K48" s="152">
        <f>248.22+18.56+28.25+5</f>
        <v>300.02999999999997</v>
      </c>
      <c r="L48" s="150"/>
      <c r="M48" s="152">
        <v>58.6</v>
      </c>
      <c r="O48" s="337">
        <f t="shared" si="2"/>
        <v>94.580000000000013</v>
      </c>
      <c r="P48" s="336">
        <f>O48/M48</f>
        <v>1.6139931740614337</v>
      </c>
      <c r="R48" s="471">
        <f>25+228.45+110</f>
        <v>363.45</v>
      </c>
    </row>
    <row r="49" spans="1:18" s="43" customFormat="1" ht="21" thickBot="1" x14ac:dyDescent="0.25">
      <c r="A49" s="42"/>
      <c r="B49" s="42"/>
      <c r="C49" s="42"/>
      <c r="D49" s="42" t="s">
        <v>68</v>
      </c>
      <c r="E49" s="42"/>
      <c r="F49" s="42"/>
      <c r="G49" s="157">
        <v>1078317.8599999999</v>
      </c>
      <c r="H49" s="157">
        <v>481701.87000000005</v>
      </c>
      <c r="I49" s="150"/>
      <c r="J49" s="313" t="e">
        <f>SUM(J30:J48)</f>
        <v>#REF!</v>
      </c>
      <c r="K49" s="313" t="e">
        <f>SUM(K30:K48)</f>
        <v>#REF!</v>
      </c>
      <c r="L49" s="150"/>
      <c r="M49" s="313" t="e">
        <f>SUM(M30:M48)</f>
        <v>#REF!</v>
      </c>
      <c r="O49" s="313" t="e">
        <f t="shared" si="2"/>
        <v>#REF!</v>
      </c>
      <c r="P49" s="311" t="e">
        <f>O49/M49</f>
        <v>#REF!</v>
      </c>
      <c r="R49" s="471"/>
    </row>
    <row r="50" spans="1:18" s="43" customFormat="1" ht="21" thickBot="1" x14ac:dyDescent="0.25">
      <c r="A50" s="42"/>
      <c r="B50" s="42"/>
      <c r="C50" s="42"/>
      <c r="D50" s="42" t="s">
        <v>130</v>
      </c>
      <c r="E50" s="42"/>
      <c r="F50" s="42"/>
      <c r="G50" s="157">
        <v>233082.39000000013</v>
      </c>
      <c r="H50" s="157">
        <v>82291.709999999905</v>
      </c>
      <c r="I50" s="150"/>
      <c r="J50" s="314" t="e">
        <f>J26-J49</f>
        <v>#REF!</v>
      </c>
      <c r="K50" s="314" t="e">
        <f>K26-K49</f>
        <v>#REF!</v>
      </c>
      <c r="L50" s="150"/>
      <c r="M50" s="314" t="e">
        <f>M26-M49</f>
        <v>#REF!</v>
      </c>
      <c r="O50" s="259" t="e">
        <f t="shared" si="2"/>
        <v>#REF!</v>
      </c>
      <c r="P50" s="311" t="e">
        <f>O50/M50</f>
        <v>#REF!</v>
      </c>
      <c r="R50" s="471">
        <f>SUM(R29:R49)</f>
        <v>167381.94999999998</v>
      </c>
    </row>
    <row r="51" spans="1:18" s="43" customFormat="1" x14ac:dyDescent="0.2">
      <c r="A51" s="42"/>
      <c r="B51" s="42"/>
      <c r="C51" s="42"/>
      <c r="D51" s="42"/>
      <c r="E51" s="42"/>
      <c r="F51" s="42"/>
      <c r="G51" s="150"/>
      <c r="H51" s="150"/>
      <c r="I51" s="150"/>
      <c r="J51" s="150"/>
      <c r="K51" s="150"/>
      <c r="L51" s="150"/>
      <c r="M51" s="150"/>
      <c r="R51" s="471"/>
    </row>
    <row r="52" spans="1:18" s="40" customFormat="1" ht="26.25" x14ac:dyDescent="0.2">
      <c r="A52" s="175"/>
      <c r="B52" s="175"/>
      <c r="C52" s="46" t="s">
        <v>131</v>
      </c>
      <c r="E52" s="46"/>
      <c r="F52" s="46"/>
      <c r="G52" s="177"/>
      <c r="H52" s="150"/>
      <c r="I52" s="150"/>
      <c r="J52" s="150"/>
      <c r="K52" s="150">
        <v>-69500</v>
      </c>
      <c r="L52" s="150"/>
      <c r="M52" s="150"/>
      <c r="O52" s="181">
        <f>J52-M52</f>
        <v>0</v>
      </c>
      <c r="P52" s="273"/>
      <c r="R52" s="471"/>
    </row>
    <row r="53" spans="1:18" s="43" customFormat="1" x14ac:dyDescent="0.2">
      <c r="A53" s="42"/>
      <c r="B53" s="42"/>
      <c r="C53" s="46" t="s">
        <v>775</v>
      </c>
      <c r="E53" s="42"/>
      <c r="G53" s="150"/>
      <c r="H53" s="150"/>
      <c r="I53" s="150"/>
      <c r="J53" s="150">
        <f>J38</f>
        <v>15180</v>
      </c>
      <c r="K53" s="150">
        <f>K38</f>
        <v>24029.68</v>
      </c>
      <c r="L53" s="150"/>
      <c r="M53" s="150">
        <f>M38</f>
        <v>7590.5599999999995</v>
      </c>
      <c r="O53" s="181">
        <f>J53-M53</f>
        <v>7589.4400000000005</v>
      </c>
      <c r="P53" s="273">
        <v>3.5414486921529216E-2</v>
      </c>
      <c r="R53" s="471"/>
    </row>
    <row r="54" spans="1:18" s="43" customFormat="1" ht="24" thickBot="1" x14ac:dyDescent="0.25">
      <c r="A54" s="42"/>
      <c r="B54" s="178"/>
      <c r="C54" s="42"/>
      <c r="D54" s="817" t="s">
        <v>133</v>
      </c>
      <c r="E54" s="817"/>
      <c r="F54" s="817"/>
      <c r="G54" s="150"/>
      <c r="H54" s="150"/>
      <c r="I54" s="150"/>
      <c r="J54" s="315" t="e">
        <f>J50+J52+J53</f>
        <v>#REF!</v>
      </c>
      <c r="K54" s="315" t="e">
        <f>K50+K52+K53</f>
        <v>#REF!</v>
      </c>
      <c r="L54" s="159"/>
      <c r="M54" s="315" t="e">
        <f>M50+M52+M53</f>
        <v>#REF!</v>
      </c>
      <c r="N54" s="261"/>
      <c r="O54" s="312" t="e">
        <f>J54-M54</f>
        <v>#REF!</v>
      </c>
      <c r="P54" s="333">
        <v>2.1062768618503362E-2</v>
      </c>
      <c r="R54" s="471"/>
    </row>
    <row r="55" spans="1:18" s="43" customFormat="1" ht="42" customHeight="1" thickTop="1" x14ac:dyDescent="0.2">
      <c r="A55" s="42"/>
      <c r="B55" s="42"/>
      <c r="C55" s="42"/>
      <c r="D55" s="42"/>
      <c r="E55" s="42"/>
      <c r="F55" s="42"/>
      <c r="G55" s="150"/>
      <c r="H55" s="150"/>
      <c r="I55" s="150"/>
      <c r="J55" s="150"/>
      <c r="K55" s="150"/>
      <c r="L55" s="150"/>
      <c r="M55" s="150"/>
      <c r="R55" s="471"/>
    </row>
    <row r="56" spans="1:18" s="43" customFormat="1" x14ac:dyDescent="0.2">
      <c r="A56" s="46"/>
      <c r="B56" s="46"/>
      <c r="C56" s="46"/>
      <c r="D56" s="46"/>
      <c r="F56" s="46" t="s">
        <v>134</v>
      </c>
      <c r="G56" s="159"/>
      <c r="H56" s="150"/>
      <c r="I56" s="150"/>
      <c r="J56" s="150">
        <v>62742</v>
      </c>
      <c r="K56" s="150">
        <v>227723</v>
      </c>
      <c r="L56" s="150"/>
      <c r="M56" s="150">
        <v>74506</v>
      </c>
      <c r="O56" s="161"/>
      <c r="R56" s="471"/>
    </row>
    <row r="57" spans="1:18" s="43" customFormat="1" ht="21" thickBot="1" x14ac:dyDescent="0.25">
      <c r="A57" s="46"/>
      <c r="B57" s="46"/>
      <c r="C57" s="46"/>
      <c r="D57" s="46"/>
      <c r="F57" s="46" t="s">
        <v>135</v>
      </c>
      <c r="G57" s="150"/>
      <c r="H57" s="150"/>
      <c r="I57" s="150"/>
      <c r="J57" s="405" t="e">
        <f>(J49-J38-J39)/J56</f>
        <v>#REF!</v>
      </c>
      <c r="K57" s="405" t="e">
        <f>(K49-K38-K39)/K56</f>
        <v>#REF!</v>
      </c>
      <c r="L57" s="406"/>
      <c r="M57" s="405" t="e">
        <f>(M49-M38-M39)/M56</f>
        <v>#REF!</v>
      </c>
      <c r="R57" s="471"/>
    </row>
    <row r="58" spans="1:18" s="43" customFormat="1" x14ac:dyDescent="0.2">
      <c r="A58" s="46"/>
      <c r="B58" s="46"/>
      <c r="C58" s="46"/>
      <c r="D58" s="46"/>
      <c r="F58" s="46"/>
      <c r="G58" s="150"/>
      <c r="H58" s="150"/>
      <c r="I58" s="150"/>
      <c r="J58" s="150"/>
      <c r="K58" s="150"/>
      <c r="L58" s="150"/>
      <c r="M58" s="150"/>
      <c r="R58" s="471"/>
    </row>
    <row r="59" spans="1:18" s="43" customFormat="1" x14ac:dyDescent="0.2">
      <c r="A59" s="46"/>
      <c r="B59" s="46"/>
      <c r="C59" s="46"/>
      <c r="D59" s="46"/>
      <c r="F59" s="46" t="s">
        <v>136</v>
      </c>
      <c r="G59" s="150"/>
      <c r="H59" s="150"/>
      <c r="I59" s="150"/>
      <c r="J59" s="150">
        <v>4125</v>
      </c>
      <c r="K59" s="150">
        <v>16457</v>
      </c>
      <c r="L59" s="150"/>
      <c r="M59" s="150">
        <v>5516</v>
      </c>
      <c r="P59" s="161"/>
      <c r="R59" s="471"/>
    </row>
    <row r="60" spans="1:18" s="43" customFormat="1" ht="21" thickBot="1" x14ac:dyDescent="0.25">
      <c r="A60" s="46"/>
      <c r="B60" s="46"/>
      <c r="C60" s="46"/>
      <c r="D60" s="46"/>
      <c r="F60" s="46" t="s">
        <v>137</v>
      </c>
      <c r="G60" s="150"/>
      <c r="H60" s="150"/>
      <c r="I60" s="150"/>
      <c r="J60" s="405" t="e">
        <f>(J49-J38-J39)/J59</f>
        <v>#REF!</v>
      </c>
      <c r="K60" s="405" t="e">
        <f>(K49-K38-K39)/K59</f>
        <v>#REF!</v>
      </c>
      <c r="L60" s="150"/>
      <c r="M60" s="405" t="e">
        <f>(M49-M38-M39)/M59</f>
        <v>#REF!</v>
      </c>
      <c r="R60" s="471"/>
    </row>
    <row r="61" spans="1:18" s="43" customFormat="1" x14ac:dyDescent="0.2">
      <c r="A61" s="46"/>
      <c r="B61" s="46"/>
      <c r="C61" s="46"/>
      <c r="D61" s="46"/>
      <c r="F61" s="46"/>
      <c r="G61" s="150"/>
      <c r="H61" s="150"/>
      <c r="I61" s="150"/>
      <c r="J61" s="150"/>
      <c r="K61" s="150"/>
      <c r="L61" s="150"/>
      <c r="M61" s="150"/>
      <c r="R61" s="471"/>
    </row>
    <row r="62" spans="1:18" s="43" customFormat="1" x14ac:dyDescent="0.2">
      <c r="A62" s="46"/>
      <c r="B62" s="46"/>
      <c r="C62" s="42"/>
      <c r="D62" s="46"/>
      <c r="F62" s="46" t="s">
        <v>138</v>
      </c>
      <c r="G62" s="150"/>
      <c r="H62" s="150"/>
      <c r="I62" s="150"/>
      <c r="J62" s="150">
        <v>1517</v>
      </c>
      <c r="K62" s="150">
        <v>7208</v>
      </c>
      <c r="L62" s="150"/>
      <c r="M62" s="150">
        <v>2389</v>
      </c>
      <c r="R62" s="471"/>
    </row>
    <row r="63" spans="1:18" s="43" customFormat="1" ht="21" thickBot="1" x14ac:dyDescent="0.25">
      <c r="A63" s="46"/>
      <c r="B63" s="46"/>
      <c r="C63" s="46"/>
      <c r="D63" s="46"/>
      <c r="E63" s="46"/>
      <c r="F63" s="46" t="s">
        <v>139</v>
      </c>
      <c r="G63" s="150"/>
      <c r="H63" s="150"/>
      <c r="I63" s="150"/>
      <c r="J63" s="405">
        <f>J9/J62</f>
        <v>27.359485827290705</v>
      </c>
      <c r="K63" s="405">
        <f>K9/K62</f>
        <v>22.020116537180911</v>
      </c>
      <c r="L63" s="150"/>
      <c r="M63" s="405">
        <f>M9/M62</f>
        <v>32.932381749686066</v>
      </c>
      <c r="R63" s="471"/>
    </row>
  </sheetData>
  <mergeCells count="11">
    <mergeCell ref="O8:P8"/>
    <mergeCell ref="D30:F30"/>
    <mergeCell ref="D31:F31"/>
    <mergeCell ref="D32:F32"/>
    <mergeCell ref="D34:F34"/>
    <mergeCell ref="C20:F20"/>
    <mergeCell ref="J6:M6"/>
    <mergeCell ref="D35:F35"/>
    <mergeCell ref="D36:F36"/>
    <mergeCell ref="D37:F37"/>
    <mergeCell ref="D54:F54"/>
  </mergeCells>
  <pageMargins left="0.2" right="0" top="0.5" bottom="0.5" header="0.3" footer="0.3"/>
  <pageSetup scale="1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3"/>
  <sheetViews>
    <sheetView topLeftCell="A4" zoomScale="75" zoomScaleNormal="75" workbookViewId="0">
      <selection activeCell="T18" sqref="T18"/>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5.625" style="33" customWidth="1"/>
    <col min="7" max="7" width="22.25" style="147" hidden="1" customWidth="1"/>
    <col min="8" max="8" width="23.125" hidden="1" customWidth="1"/>
    <col min="9" max="9" width="1.625" hidden="1" customWidth="1"/>
    <col min="10" max="10" width="26.875" customWidth="1"/>
    <col min="11" max="11" width="24.5" hidden="1" customWidth="1"/>
    <col min="12" max="12" width="1.625" customWidth="1"/>
    <col min="13" max="13" width="23.125" customWidth="1"/>
    <col min="14" max="14" width="1.75" customWidth="1"/>
    <col min="15" max="15" width="15.25" bestFit="1" customWidth="1"/>
    <col min="16" max="16" width="10.625" customWidth="1"/>
    <col min="18" max="18" width="16.875" bestFit="1" customWidth="1"/>
    <col min="19" max="19" width="18.25" bestFit="1" customWidth="1"/>
    <col min="255" max="255" width="2.875" customWidth="1"/>
    <col min="256" max="256" width="8.125" customWidth="1"/>
    <col min="257" max="257" width="8.75" customWidth="1"/>
    <col min="258" max="258" width="11" customWidth="1"/>
    <col min="259" max="259" width="2.875" customWidth="1"/>
    <col min="260" max="260" width="77.625" customWidth="1"/>
    <col min="261" max="261" width="20.875" customWidth="1"/>
    <col min="511" max="511" width="2.875" customWidth="1"/>
    <col min="512" max="512" width="8.125" customWidth="1"/>
    <col min="513" max="513" width="8.75" customWidth="1"/>
    <col min="514" max="514" width="11" customWidth="1"/>
    <col min="515" max="515" width="2.875" customWidth="1"/>
    <col min="516" max="516" width="77.625" customWidth="1"/>
    <col min="517" max="517" width="20.875" customWidth="1"/>
    <col min="767" max="767" width="2.875" customWidth="1"/>
    <col min="768" max="768" width="8.125" customWidth="1"/>
    <col min="769" max="769" width="8.75" customWidth="1"/>
    <col min="770" max="770" width="11" customWidth="1"/>
    <col min="771" max="771" width="2.875" customWidth="1"/>
    <col min="772" max="772" width="77.625" customWidth="1"/>
    <col min="773" max="773" width="20.875" customWidth="1"/>
    <col min="1023" max="1023" width="2.875" customWidth="1"/>
    <col min="1024" max="1024" width="8.125" customWidth="1"/>
    <col min="1025" max="1025" width="8.75" customWidth="1"/>
    <col min="1026" max="1026" width="11" customWidth="1"/>
    <col min="1027" max="1027" width="2.875" customWidth="1"/>
    <col min="1028" max="1028" width="77.625" customWidth="1"/>
    <col min="1029" max="1029" width="20.875" customWidth="1"/>
    <col min="1279" max="1279" width="2.875" customWidth="1"/>
    <col min="1280" max="1280" width="8.125" customWidth="1"/>
    <col min="1281" max="1281" width="8.75" customWidth="1"/>
    <col min="1282" max="1282" width="11" customWidth="1"/>
    <col min="1283" max="1283" width="2.875" customWidth="1"/>
    <col min="1284" max="1284" width="77.625" customWidth="1"/>
    <col min="1285" max="1285" width="20.875" customWidth="1"/>
    <col min="1535" max="1535" width="2.875" customWidth="1"/>
    <col min="1536" max="1536" width="8.125" customWidth="1"/>
    <col min="1537" max="1537" width="8.75" customWidth="1"/>
    <col min="1538" max="1538" width="11" customWidth="1"/>
    <col min="1539" max="1539" width="2.875" customWidth="1"/>
    <col min="1540" max="1540" width="77.625" customWidth="1"/>
    <col min="1541" max="1541" width="20.875" customWidth="1"/>
    <col min="1791" max="1791" width="2.875" customWidth="1"/>
    <col min="1792" max="1792" width="8.125" customWidth="1"/>
    <col min="1793" max="1793" width="8.75" customWidth="1"/>
    <col min="1794" max="1794" width="11" customWidth="1"/>
    <col min="1795" max="1795" width="2.875" customWidth="1"/>
    <col min="1796" max="1796" width="77.625" customWidth="1"/>
    <col min="1797" max="1797" width="20.875" customWidth="1"/>
    <col min="2047" max="2047" width="2.875" customWidth="1"/>
    <col min="2048" max="2048" width="8.125" customWidth="1"/>
    <col min="2049" max="2049" width="8.75" customWidth="1"/>
    <col min="2050" max="2050" width="11" customWidth="1"/>
    <col min="2051" max="2051" width="2.875" customWidth="1"/>
    <col min="2052" max="2052" width="77.625" customWidth="1"/>
    <col min="2053" max="2053" width="20.875" customWidth="1"/>
    <col min="2303" max="2303" width="2.875" customWidth="1"/>
    <col min="2304" max="2304" width="8.125" customWidth="1"/>
    <col min="2305" max="2305" width="8.75" customWidth="1"/>
    <col min="2306" max="2306" width="11" customWidth="1"/>
    <col min="2307" max="2307" width="2.875" customWidth="1"/>
    <col min="2308" max="2308" width="77.625" customWidth="1"/>
    <col min="2309" max="2309" width="20.875" customWidth="1"/>
    <col min="2559" max="2559" width="2.875" customWidth="1"/>
    <col min="2560" max="2560" width="8.125" customWidth="1"/>
    <col min="2561" max="2561" width="8.75" customWidth="1"/>
    <col min="2562" max="2562" width="11" customWidth="1"/>
    <col min="2563" max="2563" width="2.875" customWidth="1"/>
    <col min="2564" max="2564" width="77.625" customWidth="1"/>
    <col min="2565" max="2565" width="20.875" customWidth="1"/>
    <col min="2815" max="2815" width="2.875" customWidth="1"/>
    <col min="2816" max="2816" width="8.125" customWidth="1"/>
    <col min="2817" max="2817" width="8.75" customWidth="1"/>
    <col min="2818" max="2818" width="11" customWidth="1"/>
    <col min="2819" max="2819" width="2.875" customWidth="1"/>
    <col min="2820" max="2820" width="77.625" customWidth="1"/>
    <col min="2821" max="2821" width="20.875" customWidth="1"/>
    <col min="3071" max="3071" width="2.875" customWidth="1"/>
    <col min="3072" max="3072" width="8.125" customWidth="1"/>
    <col min="3073" max="3073" width="8.75" customWidth="1"/>
    <col min="3074" max="3074" width="11" customWidth="1"/>
    <col min="3075" max="3075" width="2.875" customWidth="1"/>
    <col min="3076" max="3076" width="77.625" customWidth="1"/>
    <col min="3077" max="3077" width="20.875" customWidth="1"/>
    <col min="3327" max="3327" width="2.875" customWidth="1"/>
    <col min="3328" max="3328" width="8.125" customWidth="1"/>
    <col min="3329" max="3329" width="8.75" customWidth="1"/>
    <col min="3330" max="3330" width="11" customWidth="1"/>
    <col min="3331" max="3331" width="2.875" customWidth="1"/>
    <col min="3332" max="3332" width="77.625" customWidth="1"/>
    <col min="3333" max="3333" width="20.875" customWidth="1"/>
    <col min="3583" max="3583" width="2.875" customWidth="1"/>
    <col min="3584" max="3584" width="8.125" customWidth="1"/>
    <col min="3585" max="3585" width="8.75" customWidth="1"/>
    <col min="3586" max="3586" width="11" customWidth="1"/>
    <col min="3587" max="3587" width="2.875" customWidth="1"/>
    <col min="3588" max="3588" width="77.625" customWidth="1"/>
    <col min="3589" max="3589" width="20.875" customWidth="1"/>
    <col min="3839" max="3839" width="2.875" customWidth="1"/>
    <col min="3840" max="3840" width="8.125" customWidth="1"/>
    <col min="3841" max="3841" width="8.75" customWidth="1"/>
    <col min="3842" max="3842" width="11" customWidth="1"/>
    <col min="3843" max="3843" width="2.875" customWidth="1"/>
    <col min="3844" max="3844" width="77.625" customWidth="1"/>
    <col min="3845" max="3845" width="20.875" customWidth="1"/>
    <col min="4095" max="4095" width="2.875" customWidth="1"/>
    <col min="4096" max="4096" width="8.125" customWidth="1"/>
    <col min="4097" max="4097" width="8.75" customWidth="1"/>
    <col min="4098" max="4098" width="11" customWidth="1"/>
    <col min="4099" max="4099" width="2.875" customWidth="1"/>
    <col min="4100" max="4100" width="77.625" customWidth="1"/>
    <col min="4101" max="4101" width="20.875" customWidth="1"/>
    <col min="4351" max="4351" width="2.875" customWidth="1"/>
    <col min="4352" max="4352" width="8.125" customWidth="1"/>
    <col min="4353" max="4353" width="8.75" customWidth="1"/>
    <col min="4354" max="4354" width="11" customWidth="1"/>
    <col min="4355" max="4355" width="2.875" customWidth="1"/>
    <col min="4356" max="4356" width="77.625" customWidth="1"/>
    <col min="4357" max="4357" width="20.875" customWidth="1"/>
    <col min="4607" max="4607" width="2.875" customWidth="1"/>
    <col min="4608" max="4608" width="8.125" customWidth="1"/>
    <col min="4609" max="4609" width="8.75" customWidth="1"/>
    <col min="4610" max="4610" width="11" customWidth="1"/>
    <col min="4611" max="4611" width="2.875" customWidth="1"/>
    <col min="4612" max="4612" width="77.625" customWidth="1"/>
    <col min="4613" max="4613" width="20.875" customWidth="1"/>
    <col min="4863" max="4863" width="2.875" customWidth="1"/>
    <col min="4864" max="4864" width="8.125" customWidth="1"/>
    <col min="4865" max="4865" width="8.75" customWidth="1"/>
    <col min="4866" max="4866" width="11" customWidth="1"/>
    <col min="4867" max="4867" width="2.875" customWidth="1"/>
    <col min="4868" max="4868" width="77.625" customWidth="1"/>
    <col min="4869" max="4869" width="20.875" customWidth="1"/>
    <col min="5119" max="5119" width="2.875" customWidth="1"/>
    <col min="5120" max="5120" width="8.125" customWidth="1"/>
    <col min="5121" max="5121" width="8.75" customWidth="1"/>
    <col min="5122" max="5122" width="11" customWidth="1"/>
    <col min="5123" max="5123" width="2.875" customWidth="1"/>
    <col min="5124" max="5124" width="77.625" customWidth="1"/>
    <col min="5125" max="5125" width="20.875" customWidth="1"/>
    <col min="5375" max="5375" width="2.875" customWidth="1"/>
    <col min="5376" max="5376" width="8.125" customWidth="1"/>
    <col min="5377" max="5377" width="8.75" customWidth="1"/>
    <col min="5378" max="5378" width="11" customWidth="1"/>
    <col min="5379" max="5379" width="2.875" customWidth="1"/>
    <col min="5380" max="5380" width="77.625" customWidth="1"/>
    <col min="5381" max="5381" width="20.875" customWidth="1"/>
    <col min="5631" max="5631" width="2.875" customWidth="1"/>
    <col min="5632" max="5632" width="8.125" customWidth="1"/>
    <col min="5633" max="5633" width="8.75" customWidth="1"/>
    <col min="5634" max="5634" width="11" customWidth="1"/>
    <col min="5635" max="5635" width="2.875" customWidth="1"/>
    <col min="5636" max="5636" width="77.625" customWidth="1"/>
    <col min="5637" max="5637" width="20.875" customWidth="1"/>
    <col min="5887" max="5887" width="2.875" customWidth="1"/>
    <col min="5888" max="5888" width="8.125" customWidth="1"/>
    <col min="5889" max="5889" width="8.75" customWidth="1"/>
    <col min="5890" max="5890" width="11" customWidth="1"/>
    <col min="5891" max="5891" width="2.875" customWidth="1"/>
    <col min="5892" max="5892" width="77.625" customWidth="1"/>
    <col min="5893" max="5893" width="20.875" customWidth="1"/>
    <col min="6143" max="6143" width="2.875" customWidth="1"/>
    <col min="6144" max="6144" width="8.125" customWidth="1"/>
    <col min="6145" max="6145" width="8.75" customWidth="1"/>
    <col min="6146" max="6146" width="11" customWidth="1"/>
    <col min="6147" max="6147" width="2.875" customWidth="1"/>
    <col min="6148" max="6148" width="77.625" customWidth="1"/>
    <col min="6149" max="6149" width="20.875" customWidth="1"/>
    <col min="6399" max="6399" width="2.875" customWidth="1"/>
    <col min="6400" max="6400" width="8.125" customWidth="1"/>
    <col min="6401" max="6401" width="8.75" customWidth="1"/>
    <col min="6402" max="6402" width="11" customWidth="1"/>
    <col min="6403" max="6403" width="2.875" customWidth="1"/>
    <col min="6404" max="6404" width="77.625" customWidth="1"/>
    <col min="6405" max="6405" width="20.875" customWidth="1"/>
    <col min="6655" max="6655" width="2.875" customWidth="1"/>
    <col min="6656" max="6656" width="8.125" customWidth="1"/>
    <col min="6657" max="6657" width="8.75" customWidth="1"/>
    <col min="6658" max="6658" width="11" customWidth="1"/>
    <col min="6659" max="6659" width="2.875" customWidth="1"/>
    <col min="6660" max="6660" width="77.625" customWidth="1"/>
    <col min="6661" max="6661" width="20.875" customWidth="1"/>
    <col min="6911" max="6911" width="2.875" customWidth="1"/>
    <col min="6912" max="6912" width="8.125" customWidth="1"/>
    <col min="6913" max="6913" width="8.75" customWidth="1"/>
    <col min="6914" max="6914" width="11" customWidth="1"/>
    <col min="6915" max="6915" width="2.875" customWidth="1"/>
    <col min="6916" max="6916" width="77.625" customWidth="1"/>
    <col min="6917" max="6917" width="20.875" customWidth="1"/>
    <col min="7167" max="7167" width="2.875" customWidth="1"/>
    <col min="7168" max="7168" width="8.125" customWidth="1"/>
    <col min="7169" max="7169" width="8.75" customWidth="1"/>
    <col min="7170" max="7170" width="11" customWidth="1"/>
    <col min="7171" max="7171" width="2.875" customWidth="1"/>
    <col min="7172" max="7172" width="77.625" customWidth="1"/>
    <col min="7173" max="7173" width="20.875" customWidth="1"/>
    <col min="7423" max="7423" width="2.875" customWidth="1"/>
    <col min="7424" max="7424" width="8.125" customWidth="1"/>
    <col min="7425" max="7425" width="8.75" customWidth="1"/>
    <col min="7426" max="7426" width="11" customWidth="1"/>
    <col min="7427" max="7427" width="2.875" customWidth="1"/>
    <col min="7428" max="7428" width="77.625" customWidth="1"/>
    <col min="7429" max="7429" width="20.875" customWidth="1"/>
    <col min="7679" max="7679" width="2.875" customWidth="1"/>
    <col min="7680" max="7680" width="8.125" customWidth="1"/>
    <col min="7681" max="7681" width="8.75" customWidth="1"/>
    <col min="7682" max="7682" width="11" customWidth="1"/>
    <col min="7683" max="7683" width="2.875" customWidth="1"/>
    <col min="7684" max="7684" width="77.625" customWidth="1"/>
    <col min="7685" max="7685" width="20.875" customWidth="1"/>
    <col min="7935" max="7935" width="2.875" customWidth="1"/>
    <col min="7936" max="7936" width="8.125" customWidth="1"/>
    <col min="7937" max="7937" width="8.75" customWidth="1"/>
    <col min="7938" max="7938" width="11" customWidth="1"/>
    <col min="7939" max="7939" width="2.875" customWidth="1"/>
    <col min="7940" max="7940" width="77.625" customWidth="1"/>
    <col min="7941" max="7941" width="20.875" customWidth="1"/>
    <col min="8191" max="8191" width="2.875" customWidth="1"/>
    <col min="8192" max="8192" width="8.125" customWidth="1"/>
    <col min="8193" max="8193" width="8.75" customWidth="1"/>
    <col min="8194" max="8194" width="11" customWidth="1"/>
    <col min="8195" max="8195" width="2.875" customWidth="1"/>
    <col min="8196" max="8196" width="77.625" customWidth="1"/>
    <col min="8197" max="8197" width="20.875" customWidth="1"/>
    <col min="8447" max="8447" width="2.875" customWidth="1"/>
    <col min="8448" max="8448" width="8.125" customWidth="1"/>
    <col min="8449" max="8449" width="8.75" customWidth="1"/>
    <col min="8450" max="8450" width="11" customWidth="1"/>
    <col min="8451" max="8451" width="2.875" customWidth="1"/>
    <col min="8452" max="8452" width="77.625" customWidth="1"/>
    <col min="8453" max="8453" width="20.875" customWidth="1"/>
    <col min="8703" max="8703" width="2.875" customWidth="1"/>
    <col min="8704" max="8704" width="8.125" customWidth="1"/>
    <col min="8705" max="8705" width="8.75" customWidth="1"/>
    <col min="8706" max="8706" width="11" customWidth="1"/>
    <col min="8707" max="8707" width="2.875" customWidth="1"/>
    <col min="8708" max="8708" width="77.625" customWidth="1"/>
    <col min="8709" max="8709" width="20.875" customWidth="1"/>
    <col min="8959" max="8959" width="2.875" customWidth="1"/>
    <col min="8960" max="8960" width="8.125" customWidth="1"/>
    <col min="8961" max="8961" width="8.75" customWidth="1"/>
    <col min="8962" max="8962" width="11" customWidth="1"/>
    <col min="8963" max="8963" width="2.875" customWidth="1"/>
    <col min="8964" max="8964" width="77.625" customWidth="1"/>
    <col min="8965" max="8965" width="20.875" customWidth="1"/>
    <col min="9215" max="9215" width="2.875" customWidth="1"/>
    <col min="9216" max="9216" width="8.125" customWidth="1"/>
    <col min="9217" max="9217" width="8.75" customWidth="1"/>
    <col min="9218" max="9218" width="11" customWidth="1"/>
    <col min="9219" max="9219" width="2.875" customWidth="1"/>
    <col min="9220" max="9220" width="77.625" customWidth="1"/>
    <col min="9221" max="9221" width="20.875" customWidth="1"/>
    <col min="9471" max="9471" width="2.875" customWidth="1"/>
    <col min="9472" max="9472" width="8.125" customWidth="1"/>
    <col min="9473" max="9473" width="8.75" customWidth="1"/>
    <col min="9474" max="9474" width="11" customWidth="1"/>
    <col min="9475" max="9475" width="2.875" customWidth="1"/>
    <col min="9476" max="9476" width="77.625" customWidth="1"/>
    <col min="9477" max="9477" width="20.875" customWidth="1"/>
    <col min="9727" max="9727" width="2.875" customWidth="1"/>
    <col min="9728" max="9728" width="8.125" customWidth="1"/>
    <col min="9729" max="9729" width="8.75" customWidth="1"/>
    <col min="9730" max="9730" width="11" customWidth="1"/>
    <col min="9731" max="9731" width="2.875" customWidth="1"/>
    <col min="9732" max="9732" width="77.625" customWidth="1"/>
    <col min="9733" max="9733" width="20.875" customWidth="1"/>
    <col min="9983" max="9983" width="2.875" customWidth="1"/>
    <col min="9984" max="9984" width="8.125" customWidth="1"/>
    <col min="9985" max="9985" width="8.75" customWidth="1"/>
    <col min="9986" max="9986" width="11" customWidth="1"/>
    <col min="9987" max="9987" width="2.875" customWidth="1"/>
    <col min="9988" max="9988" width="77.625" customWidth="1"/>
    <col min="9989" max="9989" width="20.875" customWidth="1"/>
    <col min="10239" max="10239" width="2.875" customWidth="1"/>
    <col min="10240" max="10240" width="8.125" customWidth="1"/>
    <col min="10241" max="10241" width="8.75" customWidth="1"/>
    <col min="10242" max="10242" width="11" customWidth="1"/>
    <col min="10243" max="10243" width="2.875" customWidth="1"/>
    <col min="10244" max="10244" width="77.625" customWidth="1"/>
    <col min="10245" max="10245" width="20.875" customWidth="1"/>
    <col min="10495" max="10495" width="2.875" customWidth="1"/>
    <col min="10496" max="10496" width="8.125" customWidth="1"/>
    <col min="10497" max="10497" width="8.75" customWidth="1"/>
    <col min="10498" max="10498" width="11" customWidth="1"/>
    <col min="10499" max="10499" width="2.875" customWidth="1"/>
    <col min="10500" max="10500" width="77.625" customWidth="1"/>
    <col min="10501" max="10501" width="20.875" customWidth="1"/>
    <col min="10751" max="10751" width="2.875" customWidth="1"/>
    <col min="10752" max="10752" width="8.125" customWidth="1"/>
    <col min="10753" max="10753" width="8.75" customWidth="1"/>
    <col min="10754" max="10754" width="11" customWidth="1"/>
    <col min="10755" max="10755" width="2.875" customWidth="1"/>
    <col min="10756" max="10756" width="77.625" customWidth="1"/>
    <col min="10757" max="10757" width="20.875" customWidth="1"/>
    <col min="11007" max="11007" width="2.875" customWidth="1"/>
    <col min="11008" max="11008" width="8.125" customWidth="1"/>
    <col min="11009" max="11009" width="8.75" customWidth="1"/>
    <col min="11010" max="11010" width="11" customWidth="1"/>
    <col min="11011" max="11011" width="2.875" customWidth="1"/>
    <col min="11012" max="11012" width="77.625" customWidth="1"/>
    <col min="11013" max="11013" width="20.875" customWidth="1"/>
    <col min="11263" max="11263" width="2.875" customWidth="1"/>
    <col min="11264" max="11264" width="8.125" customWidth="1"/>
    <col min="11265" max="11265" width="8.75" customWidth="1"/>
    <col min="11266" max="11266" width="11" customWidth="1"/>
    <col min="11267" max="11267" width="2.875" customWidth="1"/>
    <col min="11268" max="11268" width="77.625" customWidth="1"/>
    <col min="11269" max="11269" width="20.875" customWidth="1"/>
    <col min="11519" max="11519" width="2.875" customWidth="1"/>
    <col min="11520" max="11520" width="8.125" customWidth="1"/>
    <col min="11521" max="11521" width="8.75" customWidth="1"/>
    <col min="11522" max="11522" width="11" customWidth="1"/>
    <col min="11523" max="11523" width="2.875" customWidth="1"/>
    <col min="11524" max="11524" width="77.625" customWidth="1"/>
    <col min="11525" max="11525" width="20.875" customWidth="1"/>
    <col min="11775" max="11775" width="2.875" customWidth="1"/>
    <col min="11776" max="11776" width="8.125" customWidth="1"/>
    <col min="11777" max="11777" width="8.75" customWidth="1"/>
    <col min="11778" max="11778" width="11" customWidth="1"/>
    <col min="11779" max="11779" width="2.875" customWidth="1"/>
    <col min="11780" max="11780" width="77.625" customWidth="1"/>
    <col min="11781" max="11781" width="20.875" customWidth="1"/>
    <col min="12031" max="12031" width="2.875" customWidth="1"/>
    <col min="12032" max="12032" width="8.125" customWidth="1"/>
    <col min="12033" max="12033" width="8.75" customWidth="1"/>
    <col min="12034" max="12034" width="11" customWidth="1"/>
    <col min="12035" max="12035" width="2.875" customWidth="1"/>
    <col min="12036" max="12036" width="77.625" customWidth="1"/>
    <col min="12037" max="12037" width="20.875" customWidth="1"/>
    <col min="12287" max="12287" width="2.875" customWidth="1"/>
    <col min="12288" max="12288" width="8.125" customWidth="1"/>
    <col min="12289" max="12289" width="8.75" customWidth="1"/>
    <col min="12290" max="12290" width="11" customWidth="1"/>
    <col min="12291" max="12291" width="2.875" customWidth="1"/>
    <col min="12292" max="12292" width="77.625" customWidth="1"/>
    <col min="12293" max="12293" width="20.875" customWidth="1"/>
    <col min="12543" max="12543" width="2.875" customWidth="1"/>
    <col min="12544" max="12544" width="8.125" customWidth="1"/>
    <col min="12545" max="12545" width="8.75" customWidth="1"/>
    <col min="12546" max="12546" width="11" customWidth="1"/>
    <col min="12547" max="12547" width="2.875" customWidth="1"/>
    <col min="12548" max="12548" width="77.625" customWidth="1"/>
    <col min="12549" max="12549" width="20.875" customWidth="1"/>
    <col min="12799" max="12799" width="2.875" customWidth="1"/>
    <col min="12800" max="12800" width="8.125" customWidth="1"/>
    <col min="12801" max="12801" width="8.75" customWidth="1"/>
    <col min="12802" max="12802" width="11" customWidth="1"/>
    <col min="12803" max="12803" width="2.875" customWidth="1"/>
    <col min="12804" max="12804" width="77.625" customWidth="1"/>
    <col min="12805" max="12805" width="20.875" customWidth="1"/>
    <col min="13055" max="13055" width="2.875" customWidth="1"/>
    <col min="13056" max="13056" width="8.125" customWidth="1"/>
    <col min="13057" max="13057" width="8.75" customWidth="1"/>
    <col min="13058" max="13058" width="11" customWidth="1"/>
    <col min="13059" max="13059" width="2.875" customWidth="1"/>
    <col min="13060" max="13060" width="77.625" customWidth="1"/>
    <col min="13061" max="13061" width="20.875" customWidth="1"/>
    <col min="13311" max="13311" width="2.875" customWidth="1"/>
    <col min="13312" max="13312" width="8.125" customWidth="1"/>
    <col min="13313" max="13313" width="8.75" customWidth="1"/>
    <col min="13314" max="13314" width="11" customWidth="1"/>
    <col min="13315" max="13315" width="2.875" customWidth="1"/>
    <col min="13316" max="13316" width="77.625" customWidth="1"/>
    <col min="13317" max="13317" width="20.875" customWidth="1"/>
    <col min="13567" max="13567" width="2.875" customWidth="1"/>
    <col min="13568" max="13568" width="8.125" customWidth="1"/>
    <col min="13569" max="13569" width="8.75" customWidth="1"/>
    <col min="13570" max="13570" width="11" customWidth="1"/>
    <col min="13571" max="13571" width="2.875" customWidth="1"/>
    <col min="13572" max="13572" width="77.625" customWidth="1"/>
    <col min="13573" max="13573" width="20.875" customWidth="1"/>
    <col min="13823" max="13823" width="2.875" customWidth="1"/>
    <col min="13824" max="13824" width="8.125" customWidth="1"/>
    <col min="13825" max="13825" width="8.75" customWidth="1"/>
    <col min="13826" max="13826" width="11" customWidth="1"/>
    <col min="13827" max="13827" width="2.875" customWidth="1"/>
    <col min="13828" max="13828" width="77.625" customWidth="1"/>
    <col min="13829" max="13829" width="20.875" customWidth="1"/>
    <col min="14079" max="14079" width="2.875" customWidth="1"/>
    <col min="14080" max="14080" width="8.125" customWidth="1"/>
    <col min="14081" max="14081" width="8.75" customWidth="1"/>
    <col min="14082" max="14082" width="11" customWidth="1"/>
    <col min="14083" max="14083" width="2.875" customWidth="1"/>
    <col min="14084" max="14084" width="77.625" customWidth="1"/>
    <col min="14085" max="14085" width="20.875" customWidth="1"/>
    <col min="14335" max="14335" width="2.875" customWidth="1"/>
    <col min="14336" max="14336" width="8.125" customWidth="1"/>
    <col min="14337" max="14337" width="8.75" customWidth="1"/>
    <col min="14338" max="14338" width="11" customWidth="1"/>
    <col min="14339" max="14339" width="2.875" customWidth="1"/>
    <col min="14340" max="14340" width="77.625" customWidth="1"/>
    <col min="14341" max="14341" width="20.875" customWidth="1"/>
    <col min="14591" max="14591" width="2.875" customWidth="1"/>
    <col min="14592" max="14592" width="8.125" customWidth="1"/>
    <col min="14593" max="14593" width="8.75" customWidth="1"/>
    <col min="14594" max="14594" width="11" customWidth="1"/>
    <col min="14595" max="14595" width="2.875" customWidth="1"/>
    <col min="14596" max="14596" width="77.625" customWidth="1"/>
    <col min="14597" max="14597" width="20.875" customWidth="1"/>
    <col min="14847" max="14847" width="2.875" customWidth="1"/>
    <col min="14848" max="14848" width="8.125" customWidth="1"/>
    <col min="14849" max="14849" width="8.75" customWidth="1"/>
    <col min="14850" max="14850" width="11" customWidth="1"/>
    <col min="14851" max="14851" width="2.875" customWidth="1"/>
    <col min="14852" max="14852" width="77.625" customWidth="1"/>
    <col min="14853" max="14853" width="20.875" customWidth="1"/>
    <col min="15103" max="15103" width="2.875" customWidth="1"/>
    <col min="15104" max="15104" width="8.125" customWidth="1"/>
    <col min="15105" max="15105" width="8.75" customWidth="1"/>
    <col min="15106" max="15106" width="11" customWidth="1"/>
    <col min="15107" max="15107" width="2.875" customWidth="1"/>
    <col min="15108" max="15108" width="77.625" customWidth="1"/>
    <col min="15109" max="15109" width="20.875" customWidth="1"/>
    <col min="15359" max="15359" width="2.875" customWidth="1"/>
    <col min="15360" max="15360" width="8.125" customWidth="1"/>
    <col min="15361" max="15361" width="8.75" customWidth="1"/>
    <col min="15362" max="15362" width="11" customWidth="1"/>
    <col min="15363" max="15363" width="2.875" customWidth="1"/>
    <col min="15364" max="15364" width="77.625" customWidth="1"/>
    <col min="15365" max="15365" width="20.875" customWidth="1"/>
    <col min="15615" max="15615" width="2.875" customWidth="1"/>
    <col min="15616" max="15616" width="8.125" customWidth="1"/>
    <col min="15617" max="15617" width="8.75" customWidth="1"/>
    <col min="15618" max="15618" width="11" customWidth="1"/>
    <col min="15619" max="15619" width="2.875" customWidth="1"/>
    <col min="15620" max="15620" width="77.625" customWidth="1"/>
    <col min="15621" max="15621" width="20.875" customWidth="1"/>
    <col min="15871" max="15871" width="2.875" customWidth="1"/>
    <col min="15872" max="15872" width="8.125" customWidth="1"/>
    <col min="15873" max="15873" width="8.75" customWidth="1"/>
    <col min="15874" max="15874" width="11" customWidth="1"/>
    <col min="15875" max="15875" width="2.875" customWidth="1"/>
    <col min="15876" max="15876" width="77.625" customWidth="1"/>
    <col min="15877" max="15877" width="20.875" customWidth="1"/>
    <col min="16127" max="16127" width="2.875" customWidth="1"/>
    <col min="16128" max="16128" width="8.125" customWidth="1"/>
    <col min="16129" max="16129" width="8.75" customWidth="1"/>
    <col min="16130" max="16130" width="11" customWidth="1"/>
    <col min="16131" max="16131" width="2.875" customWidth="1"/>
    <col min="16132" max="16132" width="77.625" customWidth="1"/>
    <col min="16133" max="16133" width="20.875" customWidth="1"/>
  </cols>
  <sheetData>
    <row r="1" spans="1:16" ht="22.5" customHeight="1" x14ac:dyDescent="0.4">
      <c r="A1" s="34" t="s">
        <v>0</v>
      </c>
      <c r="B1" s="35"/>
      <c r="C1" s="36"/>
      <c r="D1" s="36"/>
      <c r="E1" s="36"/>
      <c r="F1" s="35"/>
      <c r="G1" s="148"/>
      <c r="H1" s="35"/>
      <c r="I1" s="35"/>
      <c r="J1" s="35"/>
      <c r="K1" s="35"/>
      <c r="L1" s="35"/>
      <c r="M1" s="35"/>
      <c r="N1" s="35"/>
      <c r="O1" s="35"/>
      <c r="P1" s="35"/>
    </row>
    <row r="2" spans="1:16" ht="22.5" customHeight="1" x14ac:dyDescent="0.4">
      <c r="A2" s="34" t="s">
        <v>100</v>
      </c>
      <c r="B2" s="35"/>
      <c r="C2" s="36"/>
      <c r="D2" s="36"/>
      <c r="E2" s="36"/>
      <c r="F2" s="35"/>
      <c r="G2" s="148"/>
      <c r="H2" s="35"/>
      <c r="I2" s="35"/>
      <c r="J2" s="35"/>
      <c r="K2" s="35"/>
      <c r="L2" s="35"/>
      <c r="M2" s="35"/>
      <c r="N2" s="35"/>
      <c r="O2" s="35"/>
      <c r="P2" s="35"/>
    </row>
    <row r="3" spans="1:16" ht="21.75" customHeight="1" x14ac:dyDescent="0.4">
      <c r="A3" s="34" t="s">
        <v>776</v>
      </c>
      <c r="B3" s="35"/>
      <c r="C3" s="36"/>
      <c r="D3" s="36"/>
      <c r="E3" s="36"/>
      <c r="F3" s="35"/>
      <c r="G3" s="148"/>
      <c r="H3" s="35"/>
      <c r="I3" s="35"/>
      <c r="J3" s="35"/>
      <c r="K3" s="35"/>
      <c r="L3" s="35"/>
      <c r="M3" s="35"/>
      <c r="N3" s="35"/>
      <c r="O3" s="35"/>
      <c r="P3" s="35"/>
    </row>
    <row r="4" spans="1:16" ht="22.5" customHeight="1" x14ac:dyDescent="0.4">
      <c r="A4" s="34"/>
      <c r="B4" s="35"/>
      <c r="C4" s="36"/>
      <c r="D4" s="36"/>
      <c r="E4" s="36"/>
      <c r="F4" s="35"/>
      <c r="G4" s="148"/>
      <c r="H4" s="35"/>
      <c r="I4" s="35"/>
      <c r="J4" s="35"/>
      <c r="K4" s="35"/>
      <c r="L4" s="35"/>
      <c r="M4" s="35"/>
      <c r="N4" s="35"/>
      <c r="O4" s="35"/>
      <c r="P4" s="35"/>
    </row>
    <row r="5" spans="1:16" s="38" customFormat="1" ht="8.25" customHeight="1" thickBot="1" x14ac:dyDescent="0.25">
      <c r="A5" s="37"/>
      <c r="B5" s="37"/>
      <c r="C5" s="37"/>
      <c r="D5" s="37"/>
      <c r="E5" s="37"/>
      <c r="F5" s="37"/>
      <c r="G5" s="149"/>
    </row>
    <row r="6" spans="1:16" s="41" customFormat="1" ht="24.75" customHeight="1" thickTop="1" thickBot="1" x14ac:dyDescent="0.25">
      <c r="A6" s="39" t="s">
        <v>3</v>
      </c>
      <c r="B6" s="39"/>
      <c r="C6" s="39"/>
      <c r="D6" s="39"/>
      <c r="E6" s="39"/>
      <c r="F6" s="39"/>
      <c r="G6" s="267"/>
      <c r="H6" s="156" t="s">
        <v>4</v>
      </c>
      <c r="I6" s="156"/>
      <c r="J6" s="812" t="s">
        <v>4</v>
      </c>
      <c r="K6" s="812"/>
      <c r="L6" s="812"/>
      <c r="M6" s="812"/>
      <c r="N6" s="40"/>
      <c r="O6" s="275" t="s">
        <v>5</v>
      </c>
      <c r="P6" s="272" t="s">
        <v>6</v>
      </c>
    </row>
    <row r="7" spans="1:16" s="43" customFormat="1" ht="8.25" customHeight="1" thickTop="1" x14ac:dyDescent="0.2">
      <c r="A7" s="42"/>
      <c r="B7" s="42"/>
      <c r="C7" s="42"/>
      <c r="D7" s="42"/>
      <c r="E7" s="42"/>
      <c r="F7" s="42"/>
      <c r="G7" s="150"/>
    </row>
    <row r="8" spans="1:16" ht="21" thickBot="1" x14ac:dyDescent="0.35">
      <c r="A8" s="44"/>
      <c r="B8" s="97" t="s">
        <v>7</v>
      </c>
      <c r="C8" s="97"/>
      <c r="D8" s="97"/>
      <c r="E8" s="97"/>
      <c r="F8" s="97"/>
      <c r="G8" s="186">
        <v>41090</v>
      </c>
      <c r="H8" s="186">
        <v>41274</v>
      </c>
      <c r="I8" s="223"/>
      <c r="J8" s="186">
        <v>43830</v>
      </c>
      <c r="K8" s="443">
        <f>'August''25 State of Activities'!I8</f>
        <v>45657</v>
      </c>
      <c r="L8" s="223"/>
      <c r="M8" s="186">
        <v>44196</v>
      </c>
      <c r="O8" s="884" t="s">
        <v>777</v>
      </c>
      <c r="P8" s="884"/>
    </row>
    <row r="9" spans="1:16" s="43" customFormat="1" ht="20.25" x14ac:dyDescent="0.2">
      <c r="A9" s="42"/>
      <c r="B9" s="42"/>
      <c r="C9" s="46" t="s">
        <v>14</v>
      </c>
      <c r="D9" s="46"/>
      <c r="E9" s="46"/>
      <c r="F9" s="42"/>
      <c r="G9" s="150">
        <v>127719</v>
      </c>
      <c r="H9" s="150">
        <v>67566.5</v>
      </c>
      <c r="I9" s="150"/>
      <c r="J9" s="159">
        <v>160000</v>
      </c>
      <c r="K9" s="159">
        <f>'August''25 State of Activities'!I9</f>
        <v>187799</v>
      </c>
      <c r="L9" s="159"/>
      <c r="M9" s="159">
        <v>160000</v>
      </c>
      <c r="O9" s="260">
        <f>M9-J9</f>
        <v>0</v>
      </c>
      <c r="P9" s="273">
        <f>O9/M9</f>
        <v>0</v>
      </c>
    </row>
    <row r="10" spans="1:16" s="43" customFormat="1" ht="20.25" x14ac:dyDescent="0.2">
      <c r="A10" s="42"/>
      <c r="B10" s="42"/>
      <c r="C10" s="46" t="s">
        <v>102</v>
      </c>
      <c r="D10" s="46"/>
      <c r="E10" s="46"/>
      <c r="F10" s="42"/>
      <c r="G10" s="159">
        <v>875436</v>
      </c>
      <c r="H10" s="159">
        <v>372424.1</v>
      </c>
      <c r="I10" s="159"/>
      <c r="J10" s="150">
        <v>5000</v>
      </c>
      <c r="K10" s="150">
        <f>10471.96+(5268.48+3381.01)*1.14</f>
        <v>20332.378599999996</v>
      </c>
      <c r="L10" s="159"/>
      <c r="M10" s="150">
        <v>10000</v>
      </c>
      <c r="O10" s="334">
        <f>M10-J10</f>
        <v>5000</v>
      </c>
      <c r="P10" s="287">
        <f>O10/M10</f>
        <v>0.5</v>
      </c>
    </row>
    <row r="11" spans="1:16" s="43" customFormat="1" ht="20.25" x14ac:dyDescent="0.2">
      <c r="A11" s="42"/>
      <c r="B11" s="42"/>
      <c r="C11" s="46" t="s">
        <v>16</v>
      </c>
      <c r="D11" s="46"/>
      <c r="E11" s="46"/>
      <c r="F11" s="42"/>
      <c r="G11" s="150"/>
      <c r="H11" s="150"/>
      <c r="I11" s="150"/>
      <c r="J11" s="150"/>
      <c r="K11" s="150"/>
      <c r="L11" s="150"/>
      <c r="M11" s="150"/>
      <c r="O11" s="334"/>
      <c r="P11" s="279"/>
    </row>
    <row r="12" spans="1:16" s="43" customFormat="1" ht="20.25" x14ac:dyDescent="0.2">
      <c r="A12" s="42"/>
      <c r="B12" s="42"/>
      <c r="D12" s="46" t="s">
        <v>104</v>
      </c>
      <c r="E12" s="46"/>
      <c r="F12" s="42"/>
      <c r="G12" s="150">
        <v>94235.25</v>
      </c>
      <c r="H12" s="150">
        <v>37190.379999999997</v>
      </c>
      <c r="I12" s="150"/>
      <c r="J12" s="150">
        <f>3708.33*12</f>
        <v>44499.96</v>
      </c>
      <c r="K12" s="150">
        <f>3541.67*12</f>
        <v>42500.04</v>
      </c>
      <c r="L12" s="150"/>
      <c r="M12" s="150">
        <v>44500</v>
      </c>
      <c r="O12" s="334">
        <f t="shared" ref="O12:O19" si="0">M12-J12</f>
        <v>4.0000000000873115E-2</v>
      </c>
      <c r="P12" s="287">
        <f t="shared" ref="P12:P18" si="1">O12/M12</f>
        <v>8.9887640451400261E-7</v>
      </c>
    </row>
    <row r="13" spans="1:16" s="43" customFormat="1" ht="20.25" x14ac:dyDescent="0.2">
      <c r="A13" s="42"/>
      <c r="B13" s="42"/>
      <c r="D13" s="46" t="s">
        <v>18</v>
      </c>
      <c r="E13" s="46"/>
      <c r="F13" s="42"/>
      <c r="G13" s="150"/>
      <c r="H13" s="150"/>
      <c r="I13" s="150"/>
      <c r="J13" s="150">
        <v>13000</v>
      </c>
      <c r="K13" s="150">
        <f>750*12</f>
        <v>9000</v>
      </c>
      <c r="L13" s="150"/>
      <c r="M13" s="150">
        <v>18000</v>
      </c>
      <c r="O13" s="334">
        <f t="shared" si="0"/>
        <v>5000</v>
      </c>
      <c r="P13" s="287">
        <f t="shared" si="1"/>
        <v>0.27777777777777779</v>
      </c>
    </row>
    <row r="14" spans="1:16" s="43" customFormat="1" ht="20.25" x14ac:dyDescent="0.2">
      <c r="A14" s="42"/>
      <c r="B14" s="42"/>
      <c r="C14" s="46" t="s">
        <v>105</v>
      </c>
      <c r="D14" s="46"/>
      <c r="E14" s="46"/>
      <c r="F14" s="42"/>
      <c r="G14" s="150">
        <v>0</v>
      </c>
      <c r="H14" s="150">
        <v>3517</v>
      </c>
      <c r="I14" s="150"/>
      <c r="J14" s="150">
        <v>15000</v>
      </c>
      <c r="K14" s="150">
        <f>'August''25 State of Activities'!I20</f>
        <v>20091.96</v>
      </c>
      <c r="L14" s="150"/>
      <c r="M14" s="150">
        <v>20000</v>
      </c>
      <c r="O14" s="334">
        <f t="shared" si="0"/>
        <v>5000</v>
      </c>
      <c r="P14" s="287">
        <f t="shared" si="1"/>
        <v>0.25</v>
      </c>
    </row>
    <row r="15" spans="1:16" s="43" customFormat="1" ht="20.25" x14ac:dyDescent="0.2">
      <c r="A15" s="42"/>
      <c r="B15" s="42"/>
      <c r="C15" s="46" t="s">
        <v>778</v>
      </c>
      <c r="D15" s="46"/>
      <c r="E15" s="46"/>
      <c r="F15" s="42"/>
      <c r="G15" s="150">
        <v>31459</v>
      </c>
      <c r="H15" s="150">
        <v>13920.35</v>
      </c>
      <c r="I15" s="150"/>
      <c r="J15" s="150">
        <v>25000</v>
      </c>
      <c r="K15" s="150">
        <v>25000</v>
      </c>
      <c r="L15" s="150"/>
      <c r="M15" s="150">
        <v>25000</v>
      </c>
      <c r="O15" s="334">
        <f t="shared" si="0"/>
        <v>0</v>
      </c>
      <c r="P15" s="287">
        <f t="shared" si="1"/>
        <v>0</v>
      </c>
    </row>
    <row r="16" spans="1:16" s="43" customFormat="1" ht="20.25" x14ac:dyDescent="0.2">
      <c r="A16" s="42"/>
      <c r="B16" s="42"/>
      <c r="C16" s="46" t="s">
        <v>716</v>
      </c>
      <c r="D16" s="46"/>
      <c r="E16" s="46"/>
      <c r="F16" s="42"/>
      <c r="G16" s="150"/>
      <c r="H16" s="150"/>
      <c r="I16" s="150"/>
      <c r="J16" s="150">
        <v>20000</v>
      </c>
      <c r="K16" s="150"/>
      <c r="L16" s="150"/>
      <c r="M16" s="150">
        <v>15000</v>
      </c>
      <c r="O16" s="334">
        <f t="shared" si="0"/>
        <v>-5000</v>
      </c>
      <c r="P16" s="287">
        <f t="shared" si="1"/>
        <v>-0.33333333333333331</v>
      </c>
    </row>
    <row r="17" spans="1:16" s="43" customFormat="1" ht="20.25" x14ac:dyDescent="0.2">
      <c r="A17" s="42"/>
      <c r="B17" s="42"/>
      <c r="C17" s="46" t="s">
        <v>397</v>
      </c>
      <c r="D17" s="46"/>
      <c r="E17" s="46"/>
      <c r="F17" s="42"/>
      <c r="G17" s="150"/>
      <c r="H17" s="150"/>
      <c r="I17" s="150"/>
      <c r="J17" s="150">
        <v>2000</v>
      </c>
      <c r="K17" s="150"/>
      <c r="L17" s="150"/>
      <c r="M17" s="150">
        <v>1000</v>
      </c>
      <c r="O17" s="334">
        <f t="shared" si="0"/>
        <v>-1000</v>
      </c>
      <c r="P17" s="287">
        <f t="shared" si="1"/>
        <v>-1</v>
      </c>
    </row>
    <row r="18" spans="1:16" s="43" customFormat="1" ht="20.25" x14ac:dyDescent="0.2">
      <c r="A18" s="42"/>
      <c r="B18" s="42"/>
      <c r="C18" s="814" t="s">
        <v>773</v>
      </c>
      <c r="D18" s="814"/>
      <c r="E18" s="814"/>
      <c r="F18" s="814"/>
      <c r="G18" s="150"/>
      <c r="H18" s="150"/>
      <c r="I18" s="150"/>
      <c r="J18" s="150">
        <v>2000</v>
      </c>
      <c r="K18" s="150"/>
      <c r="L18" s="150"/>
      <c r="M18" s="150">
        <v>3000</v>
      </c>
      <c r="O18" s="334">
        <f t="shared" si="0"/>
        <v>1000</v>
      </c>
      <c r="P18" s="287">
        <f t="shared" si="1"/>
        <v>0.33333333333333331</v>
      </c>
    </row>
    <row r="19" spans="1:16" s="43" customFormat="1" ht="20.25" x14ac:dyDescent="0.2">
      <c r="A19" s="42"/>
      <c r="B19" s="42"/>
      <c r="C19" s="46" t="s">
        <v>779</v>
      </c>
      <c r="D19" s="46"/>
      <c r="E19" s="46"/>
      <c r="F19" s="42"/>
      <c r="G19" s="150">
        <v>1125</v>
      </c>
      <c r="H19" s="150">
        <v>6050</v>
      </c>
      <c r="I19" s="150"/>
      <c r="J19" s="150">
        <v>2000</v>
      </c>
      <c r="K19" s="150" t="e">
        <f>'August''25 State of Activities'!#REF!</f>
        <v>#REF!</v>
      </c>
      <c r="L19" s="150"/>
      <c r="M19" s="150" t="e">
        <f>'August''25 State of Activities'!#REF!</f>
        <v>#REF!</v>
      </c>
      <c r="O19" s="334" t="e">
        <f t="shared" si="0"/>
        <v>#REF!</v>
      </c>
      <c r="P19" s="287"/>
    </row>
    <row r="20" spans="1:16" s="43" customFormat="1" ht="20.25" x14ac:dyDescent="0.2">
      <c r="A20" s="42"/>
      <c r="B20" s="42"/>
      <c r="C20" s="814" t="s">
        <v>780</v>
      </c>
      <c r="D20" s="814"/>
      <c r="E20" s="814"/>
      <c r="F20" s="814"/>
      <c r="G20" s="150"/>
      <c r="H20" s="150"/>
      <c r="I20" s="150"/>
      <c r="J20" s="150"/>
      <c r="K20" s="150">
        <v>659.25</v>
      </c>
      <c r="L20" s="150"/>
      <c r="M20" s="150"/>
      <c r="O20" s="334">
        <f>J20-M20</f>
        <v>0</v>
      </c>
      <c r="P20" s="287"/>
    </row>
    <row r="21" spans="1:16" s="43" customFormat="1" ht="21" thickBot="1" x14ac:dyDescent="0.25">
      <c r="A21" s="42"/>
      <c r="B21" s="42"/>
      <c r="C21" s="46" t="s">
        <v>108</v>
      </c>
      <c r="D21" s="46"/>
      <c r="E21" s="46"/>
      <c r="F21" s="42"/>
      <c r="G21" s="157">
        <v>31250</v>
      </c>
      <c r="H21" s="157">
        <v>15624.98</v>
      </c>
      <c r="I21" s="150"/>
      <c r="J21" s="157">
        <v>9315</v>
      </c>
      <c r="K21" s="157" t="e">
        <f>'August''25 State of Activities'!#REF!*0.2</f>
        <v>#REF!</v>
      </c>
      <c r="L21" s="150"/>
      <c r="M21" s="157">
        <v>9315</v>
      </c>
      <c r="O21" s="335">
        <f>J21-M21</f>
        <v>0</v>
      </c>
      <c r="P21" s="274">
        <v>0</v>
      </c>
    </row>
    <row r="22" spans="1:16" s="43" customFormat="1" ht="20.25" x14ac:dyDescent="0.2">
      <c r="A22" s="42"/>
      <c r="B22" s="42"/>
      <c r="C22" s="46"/>
      <c r="D22" s="42" t="s">
        <v>33</v>
      </c>
      <c r="E22" s="46"/>
      <c r="F22" s="42"/>
      <c r="G22" s="150">
        <v>1161224.25</v>
      </c>
      <c r="H22" s="150">
        <v>516293.30999999994</v>
      </c>
      <c r="I22" s="150"/>
      <c r="J22" s="150">
        <f>SUM(J9:J21)</f>
        <v>297814.95999999996</v>
      </c>
      <c r="K22" s="150" t="e">
        <f>SUM(K9:K21)</f>
        <v>#REF!</v>
      </c>
      <c r="L22" s="150"/>
      <c r="M22" s="150" t="e">
        <f>SUM(M9:M21)</f>
        <v>#REF!</v>
      </c>
      <c r="O22" s="181" t="e">
        <f>SUM(O9:O21)</f>
        <v>#REF!</v>
      </c>
      <c r="P22" s="287" t="e">
        <f>O22/M22</f>
        <v>#REF!</v>
      </c>
    </row>
    <row r="23" spans="1:16" s="43" customFormat="1" ht="21" thickBot="1" x14ac:dyDescent="0.25">
      <c r="A23" s="42"/>
      <c r="B23" s="42"/>
      <c r="C23" s="42" t="s">
        <v>109</v>
      </c>
      <c r="D23" s="46"/>
      <c r="E23" s="46"/>
      <c r="F23" s="42"/>
      <c r="G23" s="157">
        <v>150176</v>
      </c>
      <c r="H23" s="157">
        <v>47700.27</v>
      </c>
      <c r="I23" s="150"/>
      <c r="J23" s="150">
        <v>19000</v>
      </c>
      <c r="K23" s="150">
        <v>19000</v>
      </c>
      <c r="L23" s="150"/>
      <c r="M23" s="150">
        <v>19000</v>
      </c>
      <c r="O23" s="334">
        <f>J23-M23</f>
        <v>0</v>
      </c>
      <c r="P23" s="273">
        <f>O23/M23</f>
        <v>0</v>
      </c>
    </row>
    <row r="24" spans="1:16" s="43" customFormat="1" ht="21" thickBot="1" x14ac:dyDescent="0.25">
      <c r="A24" s="42"/>
      <c r="B24" s="42"/>
      <c r="C24" s="42" t="s">
        <v>110</v>
      </c>
      <c r="D24" s="46"/>
      <c r="E24" s="46"/>
      <c r="F24" s="42"/>
      <c r="G24" s="150"/>
      <c r="H24" s="150"/>
      <c r="I24" s="150"/>
      <c r="J24" s="157">
        <v>40000</v>
      </c>
      <c r="K24" s="157">
        <v>37641.19</v>
      </c>
      <c r="L24" s="150"/>
      <c r="M24" s="157">
        <v>38000</v>
      </c>
      <c r="O24" s="259">
        <f>M24-J24</f>
        <v>-2000</v>
      </c>
      <c r="P24" s="311">
        <f>O24/M24</f>
        <v>-5.2631578947368418E-2</v>
      </c>
    </row>
    <row r="25" spans="1:16" s="43" customFormat="1" ht="20.25" x14ac:dyDescent="0.2">
      <c r="A25" s="42"/>
      <c r="B25" s="42"/>
      <c r="C25" s="46"/>
      <c r="D25" s="42" t="s">
        <v>111</v>
      </c>
      <c r="E25" s="46"/>
      <c r="F25" s="42"/>
      <c r="G25" s="150">
        <v>1311400.25</v>
      </c>
      <c r="H25" s="150">
        <v>563993.57999999996</v>
      </c>
      <c r="I25" s="150"/>
      <c r="J25" s="150">
        <f>SUM(J22:J24)</f>
        <v>356814.95999999996</v>
      </c>
      <c r="K25" s="150" t="e">
        <f>SUM(K22:K24)</f>
        <v>#REF!</v>
      </c>
      <c r="L25" s="150"/>
      <c r="M25" s="150" t="e">
        <f>SUM(M22:M24)</f>
        <v>#REF!</v>
      </c>
      <c r="O25" s="181" t="e">
        <f>M25-J25</f>
        <v>#REF!</v>
      </c>
      <c r="P25" s="287" t="e">
        <f>O25/M25</f>
        <v>#REF!</v>
      </c>
    </row>
    <row r="26" spans="1:16" s="43" customFormat="1" ht="20.25" x14ac:dyDescent="0.2">
      <c r="A26" s="42"/>
      <c r="B26" s="42"/>
      <c r="C26" s="46"/>
      <c r="D26" s="42"/>
      <c r="E26" s="46"/>
      <c r="F26" s="42"/>
      <c r="G26" s="150"/>
      <c r="H26" s="150"/>
      <c r="I26" s="150"/>
      <c r="J26" s="150"/>
      <c r="K26" s="150"/>
      <c r="L26" s="150"/>
      <c r="M26" s="150"/>
    </row>
    <row r="27" spans="1:16" s="43" customFormat="1" ht="21" thickBot="1" x14ac:dyDescent="0.25">
      <c r="A27" s="42"/>
      <c r="B27" s="54" t="s">
        <v>34</v>
      </c>
      <c r="C27" s="54"/>
      <c r="D27" s="54"/>
      <c r="E27" s="54"/>
      <c r="F27" s="54"/>
      <c r="G27" s="157"/>
      <c r="J27" s="150"/>
    </row>
    <row r="28" spans="1:16" s="43" customFormat="1" ht="20.25" x14ac:dyDescent="0.2">
      <c r="A28" s="42"/>
      <c r="B28" s="42"/>
      <c r="C28" s="46" t="s">
        <v>114</v>
      </c>
      <c r="D28" s="46"/>
      <c r="E28" s="46"/>
      <c r="F28" s="46"/>
      <c r="G28" s="150">
        <v>733747.79999999993</v>
      </c>
      <c r="H28" s="181">
        <v>361976</v>
      </c>
      <c r="I28" s="181"/>
      <c r="J28" s="150"/>
      <c r="K28" s="181"/>
      <c r="L28" s="181"/>
      <c r="M28" s="181"/>
    </row>
    <row r="29" spans="1:16" s="43" customFormat="1" ht="20.25" x14ac:dyDescent="0.2">
      <c r="A29" s="42"/>
      <c r="B29" s="42"/>
      <c r="C29" s="46"/>
      <c r="D29" s="814" t="s">
        <v>115</v>
      </c>
      <c r="E29" s="814"/>
      <c r="F29" s="814"/>
      <c r="G29" s="150"/>
      <c r="H29" s="181"/>
      <c r="I29" s="181"/>
      <c r="J29" s="334">
        <f>110984.34+54648</f>
        <v>165632.34</v>
      </c>
      <c r="K29" s="334">
        <v>146508.01999999999</v>
      </c>
      <c r="L29" s="334"/>
      <c r="M29" s="334">
        <v>170000</v>
      </c>
      <c r="O29" s="334">
        <f t="shared" ref="O29:O47" si="2">M29-J29</f>
        <v>4367.6600000000035</v>
      </c>
      <c r="P29" s="287">
        <f>O29/M29</f>
        <v>2.5692117647058844E-2</v>
      </c>
    </row>
    <row r="30" spans="1:16" s="43" customFormat="1" ht="20.25" x14ac:dyDescent="0.2">
      <c r="A30" s="42"/>
      <c r="B30" s="42"/>
      <c r="C30" s="46"/>
      <c r="D30" s="814" t="s">
        <v>117</v>
      </c>
      <c r="E30" s="814"/>
      <c r="F30" s="814"/>
      <c r="G30" s="150"/>
      <c r="H30" s="181"/>
      <c r="I30" s="181"/>
      <c r="J30" s="334">
        <v>63684</v>
      </c>
      <c r="K30" s="334">
        <f>35778.69+23251.49+605.09+292.95</f>
        <v>59928.22</v>
      </c>
      <c r="L30" s="334"/>
      <c r="M30" s="334">
        <f>(22.5*(64*26+100))+(19.06*(50*26+100))</f>
        <v>66374</v>
      </c>
      <c r="O30" s="334">
        <f t="shared" si="2"/>
        <v>2690</v>
      </c>
      <c r="P30" s="287">
        <f>O30/M30</f>
        <v>4.0527917558079968E-2</v>
      </c>
    </row>
    <row r="31" spans="1:16" s="43" customFormat="1" ht="20.25" x14ac:dyDescent="0.2">
      <c r="A31" s="42"/>
      <c r="B31" s="42"/>
      <c r="C31" s="46"/>
      <c r="D31" s="814" t="s">
        <v>36</v>
      </c>
      <c r="E31" s="814"/>
      <c r="F31" s="814"/>
      <c r="G31" s="150"/>
      <c r="H31" s="181"/>
      <c r="I31" s="181"/>
      <c r="J31" s="334">
        <f>(J29+J30)*0.185</f>
        <v>42423.522899999996</v>
      </c>
      <c r="K31" s="334">
        <f>(K29+K30)*0.192</f>
        <v>39635.75808</v>
      </c>
      <c r="L31" s="334"/>
      <c r="M31" s="334">
        <f>(M29+M30)*0.185</f>
        <v>43729.19</v>
      </c>
      <c r="O31" s="334">
        <f t="shared" si="2"/>
        <v>1305.667100000006</v>
      </c>
      <c r="P31" s="287">
        <f>O31/M31</f>
        <v>2.9858021609821858E-2</v>
      </c>
    </row>
    <row r="32" spans="1:16" s="43" customFormat="1" ht="20.25" x14ac:dyDescent="0.2">
      <c r="A32" s="42"/>
      <c r="B32" s="42"/>
      <c r="C32" s="46" t="s">
        <v>118</v>
      </c>
      <c r="D32" s="46"/>
      <c r="E32" s="46"/>
      <c r="F32" s="46"/>
      <c r="G32" s="150">
        <v>44745.18</v>
      </c>
      <c r="H32" s="150">
        <v>20974.21</v>
      </c>
      <c r="I32" s="150"/>
      <c r="J32" s="334"/>
      <c r="K32" s="462"/>
      <c r="L32" s="334"/>
      <c r="M32" s="334"/>
      <c r="O32" s="334">
        <f t="shared" si="2"/>
        <v>0</v>
      </c>
      <c r="P32" s="287"/>
    </row>
    <row r="33" spans="1:16" s="43" customFormat="1" ht="20.25" x14ac:dyDescent="0.2">
      <c r="A33" s="42"/>
      <c r="B33" s="42"/>
      <c r="C33" s="46"/>
      <c r="D33" s="814" t="s">
        <v>119</v>
      </c>
      <c r="E33" s="814"/>
      <c r="F33" s="814"/>
      <c r="G33" s="150"/>
      <c r="H33" s="150"/>
      <c r="I33" s="150"/>
      <c r="J33" s="334">
        <f>17368.36/8*12</f>
        <v>26052.54</v>
      </c>
      <c r="K33" s="334">
        <v>27183.82</v>
      </c>
      <c r="L33" s="334"/>
      <c r="M33" s="334">
        <v>27500</v>
      </c>
      <c r="O33" s="334">
        <f t="shared" si="2"/>
        <v>1447.4599999999991</v>
      </c>
      <c r="P33" s="287">
        <f t="shared" ref="P33:P40" si="3">O33/M33</f>
        <v>5.2634909090909059E-2</v>
      </c>
    </row>
    <row r="34" spans="1:16" s="43" customFormat="1" ht="20.25" x14ac:dyDescent="0.2">
      <c r="A34" s="42"/>
      <c r="B34" s="42"/>
      <c r="C34" s="46"/>
      <c r="D34" s="814" t="s">
        <v>120</v>
      </c>
      <c r="E34" s="814"/>
      <c r="F34" s="814"/>
      <c r="G34" s="150"/>
      <c r="H34" s="150"/>
      <c r="I34" s="150"/>
      <c r="J34" s="334">
        <f>12089.81/8*12+800-400</f>
        <v>18534.715</v>
      </c>
      <c r="K34" s="334">
        <v>15510.83</v>
      </c>
      <c r="L34" s="334"/>
      <c r="M34" s="334">
        <v>19374</v>
      </c>
      <c r="O34" s="334">
        <f t="shared" si="2"/>
        <v>839.28499999999985</v>
      </c>
      <c r="P34" s="287">
        <f t="shared" si="3"/>
        <v>4.3320171363683282E-2</v>
      </c>
    </row>
    <row r="35" spans="1:16" s="43" customFormat="1" ht="20.25" x14ac:dyDescent="0.2">
      <c r="A35" s="42"/>
      <c r="B35" s="42"/>
      <c r="C35" s="46"/>
      <c r="D35" s="814" t="s">
        <v>121</v>
      </c>
      <c r="E35" s="814"/>
      <c r="F35" s="814"/>
      <c r="G35" s="150"/>
      <c r="H35" s="150"/>
      <c r="I35" s="150"/>
      <c r="J35" s="334">
        <f>10143.6/8*12</f>
        <v>15215.400000000001</v>
      </c>
      <c r="K35" s="334">
        <v>12450.36</v>
      </c>
      <c r="L35" s="334"/>
      <c r="M35" s="334">
        <v>15000</v>
      </c>
      <c r="O35" s="334">
        <f t="shared" si="2"/>
        <v>-215.40000000000146</v>
      </c>
      <c r="P35" s="287">
        <f t="shared" si="3"/>
        <v>-1.4360000000000097E-2</v>
      </c>
    </row>
    <row r="36" spans="1:16" s="43" customFormat="1" ht="20.25" x14ac:dyDescent="0.2">
      <c r="A36" s="42"/>
      <c r="B36" s="42"/>
      <c r="C36" s="46"/>
      <c r="D36" s="814" t="s">
        <v>122</v>
      </c>
      <c r="E36" s="814"/>
      <c r="F36" s="814"/>
      <c r="G36" s="150"/>
      <c r="H36" s="150"/>
      <c r="I36" s="150"/>
      <c r="J36" s="334">
        <v>513.5</v>
      </c>
      <c r="K36" s="334">
        <v>377</v>
      </c>
      <c r="L36" s="334"/>
      <c r="M36" s="334">
        <v>250</v>
      </c>
      <c r="O36" s="334">
        <f t="shared" si="2"/>
        <v>-263.5</v>
      </c>
      <c r="P36" s="287">
        <f t="shared" si="3"/>
        <v>-1.054</v>
      </c>
    </row>
    <row r="37" spans="1:16" s="43" customFormat="1" ht="20.25" x14ac:dyDescent="0.2">
      <c r="A37" s="42"/>
      <c r="B37" s="42"/>
      <c r="C37" s="46" t="s">
        <v>774</v>
      </c>
      <c r="D37" s="46"/>
      <c r="E37" s="46"/>
      <c r="F37" s="46"/>
      <c r="G37" s="150">
        <v>27200</v>
      </c>
      <c r="H37" s="150">
        <v>11327</v>
      </c>
      <c r="I37" s="150"/>
      <c r="J37" s="334">
        <f>22772+1411</f>
        <v>24183</v>
      </c>
      <c r="K37" s="334">
        <v>25080</v>
      </c>
      <c r="L37" s="334"/>
      <c r="M37" s="334">
        <f>20430+6774</f>
        <v>27204</v>
      </c>
      <c r="O37" s="334">
        <f t="shared" si="2"/>
        <v>3021</v>
      </c>
      <c r="P37" s="287">
        <f t="shared" si="3"/>
        <v>0.11104984561093957</v>
      </c>
    </row>
    <row r="38" spans="1:16" s="43" customFormat="1" ht="20.25" x14ac:dyDescent="0.2">
      <c r="A38" s="42"/>
      <c r="B38" s="42"/>
      <c r="C38" s="46" t="s">
        <v>38</v>
      </c>
      <c r="D38" s="46"/>
      <c r="E38" s="46"/>
      <c r="F38" s="46"/>
      <c r="G38" s="150">
        <v>150176</v>
      </c>
      <c r="H38" s="181">
        <v>47700.27</v>
      </c>
      <c r="I38" s="181"/>
      <c r="J38" s="334">
        <f>J21</f>
        <v>9315</v>
      </c>
      <c r="K38" s="334" t="e">
        <f>K21</f>
        <v>#REF!</v>
      </c>
      <c r="L38" s="334"/>
      <c r="M38" s="334">
        <f>M21</f>
        <v>9315</v>
      </c>
      <c r="O38" s="334">
        <f t="shared" si="2"/>
        <v>0</v>
      </c>
      <c r="P38" s="287">
        <f t="shared" si="3"/>
        <v>0</v>
      </c>
    </row>
    <row r="39" spans="1:16" s="43" customFormat="1" ht="20.25" x14ac:dyDescent="0.2">
      <c r="A39" s="42"/>
      <c r="B39" s="42"/>
      <c r="C39" s="46" t="s">
        <v>124</v>
      </c>
      <c r="D39" s="46"/>
      <c r="E39" s="46"/>
      <c r="F39" s="46"/>
      <c r="G39" s="150"/>
      <c r="H39" s="181"/>
      <c r="I39" s="181"/>
      <c r="J39" s="334">
        <f>2845+(332.08+24.92)*4</f>
        <v>4273</v>
      </c>
      <c r="K39" s="334">
        <v>4075</v>
      </c>
      <c r="L39" s="334"/>
      <c r="M39" s="334">
        <f>360*12</f>
        <v>4320</v>
      </c>
      <c r="O39" s="334">
        <f t="shared" si="2"/>
        <v>47</v>
      </c>
      <c r="P39" s="287">
        <f t="shared" si="3"/>
        <v>1.087962962962963E-2</v>
      </c>
    </row>
    <row r="40" spans="1:16" s="43" customFormat="1" ht="20.25" x14ac:dyDescent="0.2">
      <c r="A40" s="42"/>
      <c r="B40" s="42"/>
      <c r="C40" s="46" t="s">
        <v>125</v>
      </c>
      <c r="D40" s="46"/>
      <c r="E40" s="46"/>
      <c r="F40" s="46"/>
      <c r="G40" s="150"/>
      <c r="H40" s="181"/>
      <c r="I40" s="181"/>
      <c r="J40" s="334">
        <f>393+75</f>
        <v>468</v>
      </c>
      <c r="K40" s="334">
        <v>1496.32</v>
      </c>
      <c r="L40" s="334"/>
      <c r="M40" s="334">
        <v>500</v>
      </c>
      <c r="O40" s="334">
        <f t="shared" si="2"/>
        <v>32</v>
      </c>
      <c r="P40" s="287">
        <f t="shared" si="3"/>
        <v>6.4000000000000001E-2</v>
      </c>
    </row>
    <row r="41" spans="1:16" s="43" customFormat="1" ht="20.25" x14ac:dyDescent="0.2">
      <c r="A41" s="42"/>
      <c r="B41" s="42"/>
      <c r="C41" s="46" t="s">
        <v>126</v>
      </c>
      <c r="D41" s="46"/>
      <c r="E41" s="46"/>
      <c r="F41" s="46"/>
      <c r="G41" s="150">
        <v>10993.12</v>
      </c>
      <c r="H41" s="181">
        <v>4904.57</v>
      </c>
      <c r="I41" s="181"/>
      <c r="J41" s="334">
        <f>2414+307*4</f>
        <v>3642</v>
      </c>
      <c r="K41" s="334">
        <v>3429.9</v>
      </c>
      <c r="L41" s="334"/>
      <c r="M41" s="334">
        <f>307*12</f>
        <v>3684</v>
      </c>
      <c r="O41" s="334">
        <f t="shared" si="2"/>
        <v>42</v>
      </c>
      <c r="P41" s="287">
        <f>O41/M41</f>
        <v>1.1400651465798045E-2</v>
      </c>
    </row>
    <row r="42" spans="1:16" s="43" customFormat="1" ht="20.25" x14ac:dyDescent="0.2">
      <c r="A42" s="42"/>
      <c r="B42" s="42"/>
      <c r="C42" s="46" t="s">
        <v>127</v>
      </c>
      <c r="D42" s="46"/>
      <c r="E42" s="46"/>
      <c r="F42" s="46"/>
      <c r="G42" s="150">
        <v>10250.949999999999</v>
      </c>
      <c r="H42" s="181">
        <v>3982.99</v>
      </c>
      <c r="I42" s="181"/>
      <c r="J42" s="334">
        <v>600</v>
      </c>
      <c r="K42" s="334">
        <f>56.6+402.81</f>
        <v>459.41</v>
      </c>
      <c r="L42" s="334"/>
      <c r="M42" s="334">
        <v>600</v>
      </c>
      <c r="O42" s="334">
        <f t="shared" si="2"/>
        <v>0</v>
      </c>
      <c r="P42" s="287">
        <f>O42/M42</f>
        <v>0</v>
      </c>
    </row>
    <row r="43" spans="1:16" s="43" customFormat="1" ht="20.25" x14ac:dyDescent="0.2">
      <c r="A43" s="42"/>
      <c r="B43" s="42"/>
      <c r="C43" s="46" t="s">
        <v>48</v>
      </c>
      <c r="D43" s="46"/>
      <c r="E43" s="46"/>
      <c r="F43" s="46"/>
      <c r="G43" s="150">
        <v>4412.53</v>
      </c>
      <c r="H43" s="182">
        <v>5667</v>
      </c>
      <c r="I43" s="182"/>
      <c r="J43" s="334">
        <f>122.96+1237.38+391.65</f>
        <v>1751.9900000000002</v>
      </c>
      <c r="K43" s="334">
        <v>1040.8800000000001</v>
      </c>
      <c r="L43" s="463"/>
      <c r="M43" s="463">
        <f>394*4</f>
        <v>1576</v>
      </c>
      <c r="O43" s="334">
        <f t="shared" si="2"/>
        <v>-175.99000000000024</v>
      </c>
      <c r="P43" s="287">
        <f>O43/M43</f>
        <v>-0.11166878172588847</v>
      </c>
    </row>
    <row r="44" spans="1:16" s="43" customFormat="1" ht="20.25" x14ac:dyDescent="0.2">
      <c r="A44" s="42"/>
      <c r="B44" s="42"/>
      <c r="C44" s="46" t="s">
        <v>44</v>
      </c>
      <c r="D44" s="46"/>
      <c r="E44" s="46"/>
      <c r="F44" s="46"/>
      <c r="G44" s="150">
        <v>7901</v>
      </c>
      <c r="H44" s="181">
        <v>4149.6000000000004</v>
      </c>
      <c r="I44" s="181"/>
      <c r="J44" s="334">
        <f>367.55/8*12</f>
        <v>551.32500000000005</v>
      </c>
      <c r="K44" s="334">
        <v>436.35</v>
      </c>
      <c r="L44" s="334"/>
      <c r="M44" s="334">
        <v>600</v>
      </c>
      <c r="O44" s="334">
        <f t="shared" si="2"/>
        <v>48.674999999999955</v>
      </c>
      <c r="P44" s="287">
        <f>O44/M44</f>
        <v>8.1124999999999919E-2</v>
      </c>
    </row>
    <row r="45" spans="1:16" s="43" customFormat="1" ht="20.25" hidden="1" x14ac:dyDescent="0.2">
      <c r="A45" s="42"/>
      <c r="B45" s="42"/>
      <c r="C45" s="46" t="s">
        <v>128</v>
      </c>
      <c r="D45" s="46"/>
      <c r="E45" s="46"/>
      <c r="F45" s="46"/>
      <c r="G45" s="150"/>
      <c r="H45" s="181"/>
      <c r="I45" s="181"/>
      <c r="J45" s="334"/>
      <c r="K45" s="334"/>
      <c r="L45" s="334"/>
      <c r="M45" s="334">
        <v>0</v>
      </c>
      <c r="O45" s="334">
        <f t="shared" si="2"/>
        <v>0</v>
      </c>
      <c r="P45" s="287"/>
    </row>
    <row r="46" spans="1:16" s="43" customFormat="1" ht="20.25" x14ac:dyDescent="0.2">
      <c r="A46" s="46"/>
      <c r="B46" s="46"/>
      <c r="C46" s="46" t="s">
        <v>40</v>
      </c>
      <c r="D46" s="46"/>
      <c r="E46" s="46"/>
      <c r="F46" s="46"/>
      <c r="G46" s="150">
        <v>5428.37</v>
      </c>
      <c r="H46" s="181">
        <v>2024.52</v>
      </c>
      <c r="I46" s="181"/>
      <c r="J46" s="334">
        <f>208.6/8*12</f>
        <v>312.89999999999998</v>
      </c>
      <c r="K46" s="334">
        <v>205.44</v>
      </c>
      <c r="L46" s="334"/>
      <c r="M46" s="334">
        <v>320</v>
      </c>
      <c r="O46" s="334">
        <f t="shared" si="2"/>
        <v>7.1000000000000227</v>
      </c>
      <c r="P46" s="287">
        <f>O46/M46</f>
        <v>2.2187500000000072E-2</v>
      </c>
    </row>
    <row r="47" spans="1:16" s="43" customFormat="1" ht="20.25" x14ac:dyDescent="0.2">
      <c r="A47" s="46"/>
      <c r="B47" s="46"/>
      <c r="C47" s="46" t="s">
        <v>129</v>
      </c>
      <c r="D47" s="46"/>
      <c r="E47" s="46"/>
      <c r="F47" s="46"/>
      <c r="G47" s="150">
        <v>83462.91</v>
      </c>
      <c r="H47" s="150">
        <v>18995.71</v>
      </c>
      <c r="I47" s="150"/>
      <c r="J47" s="337">
        <v>200</v>
      </c>
      <c r="K47" s="337">
        <f>201.52+30+216.21+94.56</f>
        <v>542.29</v>
      </c>
      <c r="L47" s="334"/>
      <c r="M47" s="334">
        <v>225</v>
      </c>
      <c r="O47" s="334">
        <f t="shared" si="2"/>
        <v>25</v>
      </c>
      <c r="P47" s="336">
        <f>O47/M47</f>
        <v>0.1111111111111111</v>
      </c>
    </row>
    <row r="48" spans="1:16" s="43" customFormat="1" ht="21" thickBot="1" x14ac:dyDescent="0.25">
      <c r="A48" s="42"/>
      <c r="B48" s="42"/>
      <c r="C48" s="42"/>
      <c r="D48" s="42" t="s">
        <v>68</v>
      </c>
      <c r="E48" s="42"/>
      <c r="F48" s="42"/>
      <c r="G48" s="157">
        <v>1078317.8599999999</v>
      </c>
      <c r="H48" s="157">
        <v>481701.87000000005</v>
      </c>
      <c r="I48" s="150"/>
      <c r="J48" s="313">
        <f>SUM(J29:J47)</f>
        <v>377353.23290000006</v>
      </c>
      <c r="K48" s="313" t="e">
        <f>SUM(K29:K47)</f>
        <v>#REF!</v>
      </c>
      <c r="L48" s="150"/>
      <c r="M48" s="313">
        <f>SUM(M29:M47)</f>
        <v>390571.19</v>
      </c>
      <c r="O48" s="313">
        <f>J48-M48</f>
        <v>-13217.957099999941</v>
      </c>
      <c r="P48" s="311">
        <f>O48/M48</f>
        <v>-3.384263212040791E-2</v>
      </c>
    </row>
    <row r="49" spans="1:16" s="43" customFormat="1" ht="21" thickBot="1" x14ac:dyDescent="0.25">
      <c r="A49" s="42"/>
      <c r="B49" s="42"/>
      <c r="C49" s="42"/>
      <c r="D49" s="42" t="s">
        <v>130</v>
      </c>
      <c r="E49" s="42"/>
      <c r="F49" s="42"/>
      <c r="G49" s="157">
        <v>233082.39000000013</v>
      </c>
      <c r="H49" s="157">
        <v>82291.709999999905</v>
      </c>
      <c r="I49" s="150"/>
      <c r="J49" s="314">
        <f>J25-J48</f>
        <v>-20538.272900000098</v>
      </c>
      <c r="K49" s="314" t="e">
        <f>K25-K48</f>
        <v>#REF!</v>
      </c>
      <c r="L49" s="150"/>
      <c r="M49" s="314" t="e">
        <f>M25-M48</f>
        <v>#REF!</v>
      </c>
      <c r="O49" s="259" t="e">
        <f>M49-J49</f>
        <v>#REF!</v>
      </c>
      <c r="P49" s="311" t="e">
        <f>O49/M49</f>
        <v>#REF!</v>
      </c>
    </row>
    <row r="50" spans="1:16" s="43" customFormat="1" ht="20.25" x14ac:dyDescent="0.2">
      <c r="A50" s="42"/>
      <c r="B50" s="42"/>
      <c r="C50" s="42"/>
      <c r="D50" s="42"/>
      <c r="E50" s="42"/>
      <c r="F50" s="42"/>
      <c r="G50" s="150"/>
      <c r="H50" s="150"/>
      <c r="I50" s="150"/>
      <c r="J50" s="150"/>
      <c r="K50" s="150"/>
      <c r="L50" s="150"/>
      <c r="M50" s="150"/>
    </row>
    <row r="51" spans="1:16" s="40" customFormat="1" ht="26.25" x14ac:dyDescent="0.2">
      <c r="A51" s="175"/>
      <c r="B51" s="175"/>
      <c r="C51" s="46" t="s">
        <v>131</v>
      </c>
      <c r="E51" s="46"/>
      <c r="F51" s="46"/>
      <c r="G51" s="177"/>
      <c r="H51" s="150"/>
      <c r="I51" s="150"/>
      <c r="J51" s="150">
        <f>-23415.22-24000</f>
        <v>-47415.22</v>
      </c>
      <c r="K51" s="150">
        <v>-44886</v>
      </c>
      <c r="L51" s="150"/>
      <c r="M51" s="150"/>
      <c r="O51" s="181">
        <f>M51-J51</f>
        <v>47415.22</v>
      </c>
      <c r="P51" s="273"/>
    </row>
    <row r="52" spans="1:16" s="43" customFormat="1" ht="20.25" x14ac:dyDescent="0.2">
      <c r="A52" s="42"/>
      <c r="B52" s="42"/>
      <c r="C52" s="46" t="s">
        <v>775</v>
      </c>
      <c r="E52" s="42"/>
      <c r="G52" s="150"/>
      <c r="H52" s="150"/>
      <c r="I52" s="150"/>
      <c r="J52" s="150">
        <f>J37</f>
        <v>24183</v>
      </c>
      <c r="K52" s="150">
        <f>K37</f>
        <v>25080</v>
      </c>
      <c r="L52" s="150"/>
      <c r="M52" s="150">
        <f>M37</f>
        <v>27204</v>
      </c>
      <c r="O52" s="181">
        <f>M52-J52</f>
        <v>3021</v>
      </c>
      <c r="P52" s="273">
        <v>3.5414486921529216E-2</v>
      </c>
    </row>
    <row r="53" spans="1:16" s="43" customFormat="1" ht="24" thickBot="1" x14ac:dyDescent="0.25">
      <c r="A53" s="42"/>
      <c r="B53" s="178"/>
      <c r="C53" s="42"/>
      <c r="D53" s="817" t="s">
        <v>133</v>
      </c>
      <c r="E53" s="817"/>
      <c r="F53" s="817"/>
      <c r="G53" s="150"/>
      <c r="H53" s="150"/>
      <c r="I53" s="150"/>
      <c r="J53" s="315">
        <f>J49+J51+J52</f>
        <v>-43770.492900000099</v>
      </c>
      <c r="K53" s="315" t="e">
        <f>K49+K51+K52</f>
        <v>#REF!</v>
      </c>
      <c r="L53" s="159"/>
      <c r="M53" s="315" t="e">
        <f>M49+M51+M52</f>
        <v>#REF!</v>
      </c>
      <c r="N53" s="261"/>
      <c r="O53" s="312" t="e">
        <f>M53-J53</f>
        <v>#REF!</v>
      </c>
      <c r="P53" s="333">
        <v>2.1062768618503362E-2</v>
      </c>
    </row>
  </sheetData>
  <mergeCells count="12">
    <mergeCell ref="J6:M6"/>
    <mergeCell ref="O8:P8"/>
    <mergeCell ref="C18:F18"/>
    <mergeCell ref="C20:F20"/>
    <mergeCell ref="D29:F29"/>
    <mergeCell ref="D53:F53"/>
    <mergeCell ref="D30:F30"/>
    <mergeCell ref="D31:F31"/>
    <mergeCell ref="D33:F33"/>
    <mergeCell ref="D34:F34"/>
    <mergeCell ref="D35:F35"/>
    <mergeCell ref="D36:F36"/>
  </mergeCells>
  <pageMargins left="0.2" right="0.2" top="0.75" bottom="0.5" header="0.3" footer="0.3"/>
  <pageSetup scale="62"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5"/>
  <sheetViews>
    <sheetView workbookViewId="0">
      <selection activeCell="L22" sqref="L22"/>
    </sheetView>
  </sheetViews>
  <sheetFormatPr defaultRowHeight="14.25" x14ac:dyDescent="0.2"/>
  <cols>
    <col min="1" max="1" width="2.875" customWidth="1"/>
    <col min="2" max="2" width="8.125" customWidth="1"/>
    <col min="3" max="3" width="8.75" customWidth="1"/>
    <col min="4" max="4" width="5.75" customWidth="1"/>
    <col min="5" max="5" width="2.875" customWidth="1"/>
    <col min="6" max="6" width="44.625" customWidth="1"/>
    <col min="7" max="7" width="23" customWidth="1"/>
  </cols>
  <sheetData>
    <row r="1" spans="1:7" ht="26.25" x14ac:dyDescent="0.4">
      <c r="A1" s="34" t="s">
        <v>0</v>
      </c>
      <c r="B1" s="35"/>
      <c r="C1" s="36"/>
      <c r="D1" s="36"/>
      <c r="E1" s="36"/>
      <c r="F1" s="35"/>
      <c r="G1" s="148"/>
    </row>
    <row r="2" spans="1:7" ht="26.25" x14ac:dyDescent="0.4">
      <c r="A2" s="34" t="s">
        <v>781</v>
      </c>
      <c r="B2" s="35"/>
      <c r="C2" s="36"/>
      <c r="D2" s="36"/>
      <c r="E2" s="36"/>
      <c r="F2" s="35"/>
      <c r="G2" s="148"/>
    </row>
    <row r="3" spans="1:7" ht="26.25" x14ac:dyDescent="0.4">
      <c r="A3" s="34" t="s">
        <v>782</v>
      </c>
      <c r="B3" s="35"/>
      <c r="C3" s="36"/>
      <c r="D3" s="36"/>
      <c r="E3" s="36"/>
      <c r="F3" s="35"/>
      <c r="G3" s="148"/>
    </row>
    <row r="4" spans="1:7" ht="21" thickBot="1" x14ac:dyDescent="0.25">
      <c r="A4" s="37"/>
      <c r="B4" s="37"/>
      <c r="C4" s="37"/>
      <c r="D4" s="37"/>
      <c r="E4" s="37"/>
      <c r="F4" s="37"/>
      <c r="G4" s="149"/>
    </row>
    <row r="5" spans="1:7" ht="27.75" thickTop="1" thickBot="1" x14ac:dyDescent="0.25">
      <c r="A5" s="39"/>
      <c r="B5" s="39"/>
      <c r="C5" s="39"/>
      <c r="D5" s="39"/>
      <c r="E5" s="39"/>
      <c r="F5" s="39"/>
      <c r="G5" s="267" t="s">
        <v>4</v>
      </c>
    </row>
    <row r="6" spans="1:7" ht="21" thickTop="1" x14ac:dyDescent="0.2">
      <c r="A6" s="42"/>
      <c r="B6" s="42"/>
      <c r="C6" s="42"/>
      <c r="D6" s="42"/>
      <c r="E6" s="42"/>
      <c r="F6" s="42"/>
      <c r="G6" s="150"/>
    </row>
    <row r="7" spans="1:7" ht="21" thickBot="1" x14ac:dyDescent="0.35">
      <c r="A7" s="44"/>
      <c r="B7" s="97" t="s">
        <v>7</v>
      </c>
      <c r="C7" s="97"/>
      <c r="D7" s="97"/>
      <c r="E7" s="97"/>
      <c r="F7" s="97"/>
      <c r="G7" s="186"/>
    </row>
    <row r="8" spans="1:7" ht="20.25" x14ac:dyDescent="0.2">
      <c r="A8" s="42"/>
      <c r="B8" s="42"/>
      <c r="C8" s="46" t="s">
        <v>13</v>
      </c>
      <c r="D8" s="46"/>
      <c r="E8" s="46"/>
      <c r="F8" s="42"/>
      <c r="G8" s="159">
        <v>791718</v>
      </c>
    </row>
    <row r="9" spans="1:7" ht="20.25" x14ac:dyDescent="0.2">
      <c r="A9" s="42"/>
      <c r="B9" s="42"/>
      <c r="C9" s="46" t="s">
        <v>783</v>
      </c>
      <c r="D9" s="46"/>
      <c r="E9" s="46"/>
      <c r="F9" s="42"/>
      <c r="G9" s="150">
        <v>25000</v>
      </c>
    </row>
    <row r="10" spans="1:7" ht="20.25" x14ac:dyDescent="0.2">
      <c r="A10" s="42"/>
      <c r="B10" s="42"/>
      <c r="C10" s="46" t="s">
        <v>14</v>
      </c>
      <c r="D10" s="46"/>
      <c r="E10" s="46"/>
      <c r="F10" s="42"/>
      <c r="G10" s="150">
        <v>147000</v>
      </c>
    </row>
    <row r="11" spans="1:7" ht="20.25" x14ac:dyDescent="0.2">
      <c r="A11" s="42"/>
      <c r="B11" s="42"/>
      <c r="C11" s="46" t="s">
        <v>15</v>
      </c>
      <c r="D11" s="46"/>
      <c r="E11" s="46"/>
      <c r="F11" s="42"/>
      <c r="G11" s="150">
        <v>43322</v>
      </c>
    </row>
    <row r="12" spans="1:7" ht="20.25" x14ac:dyDescent="0.2">
      <c r="A12" s="42"/>
      <c r="B12" s="42"/>
      <c r="C12" s="46" t="s">
        <v>16</v>
      </c>
      <c r="D12" s="46"/>
      <c r="E12" s="46"/>
      <c r="F12" s="42"/>
      <c r="G12" s="150"/>
    </row>
    <row r="13" spans="1:7" ht="20.25" x14ac:dyDescent="0.2">
      <c r="A13" s="42"/>
      <c r="B13" s="42"/>
      <c r="C13" s="43"/>
      <c r="D13" s="46" t="s">
        <v>17</v>
      </c>
      <c r="E13" s="46"/>
      <c r="F13" s="42"/>
      <c r="G13" s="150">
        <f>43500+158022</f>
        <v>201522</v>
      </c>
    </row>
    <row r="14" spans="1:7" ht="20.25" x14ac:dyDescent="0.2">
      <c r="A14" s="42"/>
      <c r="B14" s="42"/>
      <c r="C14" s="43"/>
      <c r="D14" s="46" t="s">
        <v>18</v>
      </c>
      <c r="E14" s="46"/>
      <c r="F14" s="42"/>
      <c r="G14" s="150">
        <v>13000</v>
      </c>
    </row>
    <row r="15" spans="1:7" ht="20.25" x14ac:dyDescent="0.2">
      <c r="A15" s="42"/>
      <c r="B15" s="42"/>
      <c r="C15" s="46" t="s">
        <v>105</v>
      </c>
      <c r="D15" s="46"/>
      <c r="E15" s="46"/>
      <c r="F15" s="42"/>
      <c r="G15" s="150">
        <v>12500</v>
      </c>
    </row>
    <row r="16" spans="1:7" ht="20.25" x14ac:dyDescent="0.2">
      <c r="A16" s="42"/>
      <c r="B16" s="42"/>
      <c r="C16" s="46" t="s">
        <v>21</v>
      </c>
      <c r="D16" s="46"/>
      <c r="E16" s="46"/>
      <c r="F16" s="42"/>
      <c r="G16" s="150">
        <v>1200</v>
      </c>
    </row>
    <row r="17" spans="2:7" ht="20.25" x14ac:dyDescent="0.2">
      <c r="B17" s="42"/>
      <c r="C17" s="46" t="s">
        <v>22</v>
      </c>
      <c r="D17" s="46"/>
      <c r="E17" s="46"/>
      <c r="F17" s="42"/>
      <c r="G17" s="150">
        <v>4200</v>
      </c>
    </row>
    <row r="18" spans="2:7" ht="20.25" x14ac:dyDescent="0.2">
      <c r="B18" s="42"/>
      <c r="C18" s="46" t="s">
        <v>23</v>
      </c>
      <c r="D18" s="46"/>
      <c r="E18" s="46"/>
      <c r="F18" s="42"/>
      <c r="G18" s="150">
        <v>1500</v>
      </c>
    </row>
    <row r="19" spans="2:7" ht="20.25" x14ac:dyDescent="0.2">
      <c r="B19" s="42"/>
      <c r="C19" s="46" t="s">
        <v>784</v>
      </c>
      <c r="D19" s="46"/>
      <c r="E19" s="46"/>
      <c r="F19" s="42"/>
      <c r="G19" s="150"/>
    </row>
    <row r="20" spans="2:7" ht="20.25" x14ac:dyDescent="0.2">
      <c r="B20" s="42"/>
      <c r="C20" s="46"/>
      <c r="D20" s="46" t="s">
        <v>25</v>
      </c>
      <c r="E20" s="46"/>
      <c r="F20" s="42"/>
      <c r="G20" s="150">
        <f>73338-45000</f>
        <v>28338</v>
      </c>
    </row>
    <row r="21" spans="2:7" ht="20.25" x14ac:dyDescent="0.2">
      <c r="B21" s="42"/>
      <c r="C21" s="46"/>
      <c r="D21" s="46" t="s">
        <v>26</v>
      </c>
      <c r="E21" s="46"/>
      <c r="F21" s="42"/>
      <c r="G21" s="150">
        <v>45000</v>
      </c>
    </row>
    <row r="22" spans="2:7" ht="20.25" x14ac:dyDescent="0.2">
      <c r="B22" s="42"/>
      <c r="C22" s="46" t="s">
        <v>28</v>
      </c>
      <c r="D22" s="46"/>
      <c r="E22" s="46"/>
      <c r="F22" s="42"/>
      <c r="G22" s="150">
        <v>2500</v>
      </c>
    </row>
    <row r="23" spans="2:7" ht="20.25" x14ac:dyDescent="0.2">
      <c r="B23" s="42"/>
      <c r="C23" s="46" t="s">
        <v>29</v>
      </c>
      <c r="D23" s="46"/>
      <c r="E23" s="46"/>
      <c r="F23" s="42"/>
      <c r="G23" s="150">
        <v>46575</v>
      </c>
    </row>
    <row r="24" spans="2:7" ht="20.25" x14ac:dyDescent="0.2">
      <c r="B24" s="42"/>
      <c r="C24" s="46" t="s">
        <v>785</v>
      </c>
      <c r="D24" s="46"/>
      <c r="E24" s="46"/>
      <c r="F24" s="42"/>
      <c r="G24" s="150">
        <v>1531</v>
      </c>
    </row>
    <row r="25" spans="2:7" ht="20.25" x14ac:dyDescent="0.2">
      <c r="B25" s="42"/>
      <c r="C25" s="46" t="s">
        <v>16</v>
      </c>
      <c r="D25" s="46"/>
      <c r="E25" s="46"/>
      <c r="F25" s="42"/>
      <c r="G25" s="150">
        <v>19000</v>
      </c>
    </row>
    <row r="26" spans="2:7" ht="20.25" x14ac:dyDescent="0.2">
      <c r="B26" s="42"/>
      <c r="C26" s="46" t="s">
        <v>31</v>
      </c>
      <c r="D26" s="46"/>
      <c r="E26" s="46"/>
      <c r="F26" s="42"/>
      <c r="G26" s="150">
        <v>51000</v>
      </c>
    </row>
    <row r="27" spans="2:7" ht="20.25" x14ac:dyDescent="0.2">
      <c r="B27" s="42"/>
      <c r="C27" s="46" t="s">
        <v>32</v>
      </c>
      <c r="D27" s="46"/>
      <c r="E27" s="46"/>
      <c r="F27" s="42"/>
      <c r="G27" s="150">
        <v>20655</v>
      </c>
    </row>
    <row r="28" spans="2:7" ht="20.25" x14ac:dyDescent="0.2">
      <c r="B28" s="42"/>
      <c r="C28" s="46"/>
      <c r="D28" s="42" t="s">
        <v>33</v>
      </c>
      <c r="E28" s="46"/>
      <c r="F28" s="42"/>
      <c r="G28" s="158">
        <f>SUM(G8:G27)</f>
        <v>1455561</v>
      </c>
    </row>
    <row r="29" spans="2:7" ht="20.25" x14ac:dyDescent="0.2">
      <c r="B29" s="42"/>
      <c r="C29" s="46"/>
      <c r="D29" s="42"/>
      <c r="E29" s="46"/>
      <c r="F29" s="42"/>
      <c r="G29" s="150"/>
    </row>
    <row r="30" spans="2:7" ht="21" thickBot="1" x14ac:dyDescent="0.25">
      <c r="B30" s="54" t="s">
        <v>34</v>
      </c>
      <c r="C30" s="54"/>
      <c r="D30" s="54"/>
      <c r="E30" s="54"/>
      <c r="F30" s="54"/>
      <c r="G30" s="157"/>
    </row>
    <row r="31" spans="2:7" ht="20.25" x14ac:dyDescent="0.2">
      <c r="B31" s="42"/>
      <c r="C31" s="46" t="s">
        <v>35</v>
      </c>
      <c r="D31" s="46"/>
      <c r="E31" s="46"/>
      <c r="F31" s="46"/>
      <c r="G31" s="150">
        <v>889720</v>
      </c>
    </row>
    <row r="32" spans="2:7" ht="20.25" x14ac:dyDescent="0.2">
      <c r="B32" s="42"/>
      <c r="C32" s="46" t="s">
        <v>36</v>
      </c>
      <c r="D32" s="46"/>
      <c r="E32" s="46"/>
      <c r="F32" s="46"/>
      <c r="G32" s="150">
        <v>192602</v>
      </c>
    </row>
    <row r="33" spans="2:7" ht="20.25" x14ac:dyDescent="0.2">
      <c r="B33" s="42"/>
      <c r="C33" s="46" t="s">
        <v>37</v>
      </c>
      <c r="D33" s="46"/>
      <c r="E33" s="46"/>
      <c r="F33" s="46"/>
      <c r="G33" s="150">
        <v>3600</v>
      </c>
    </row>
    <row r="34" spans="2:7" ht="20.25" x14ac:dyDescent="0.2">
      <c r="B34" s="42"/>
      <c r="C34" s="46" t="s">
        <v>38</v>
      </c>
      <c r="D34" s="46"/>
      <c r="E34" s="46"/>
      <c r="F34" s="46"/>
      <c r="G34" s="150">
        <f>G23</f>
        <v>46575</v>
      </c>
    </row>
    <row r="35" spans="2:7" ht="20.25" x14ac:dyDescent="0.2">
      <c r="B35" s="42"/>
      <c r="C35" s="46" t="s">
        <v>39</v>
      </c>
      <c r="D35" s="46"/>
      <c r="E35" s="46"/>
      <c r="F35" s="46"/>
      <c r="G35" s="150">
        <v>17595</v>
      </c>
    </row>
    <row r="36" spans="2:7" ht="20.25" x14ac:dyDescent="0.2">
      <c r="B36" s="42"/>
      <c r="C36" s="46" t="s">
        <v>40</v>
      </c>
      <c r="D36" s="46"/>
      <c r="E36" s="46"/>
      <c r="F36" s="46"/>
      <c r="G36" s="150">
        <v>2821</v>
      </c>
    </row>
    <row r="37" spans="2:7" ht="20.25" x14ac:dyDescent="0.2">
      <c r="B37" s="42"/>
      <c r="C37" s="46" t="s">
        <v>41</v>
      </c>
      <c r="D37" s="46"/>
      <c r="E37" s="46"/>
      <c r="F37" s="46"/>
      <c r="G37" s="150">
        <v>5032</v>
      </c>
    </row>
    <row r="38" spans="2:7" ht="20.25" x14ac:dyDescent="0.2">
      <c r="B38" s="42"/>
      <c r="C38" s="46" t="s">
        <v>42</v>
      </c>
      <c r="D38" s="46"/>
      <c r="E38" s="46"/>
      <c r="F38" s="46"/>
      <c r="G38" s="150">
        <v>12216</v>
      </c>
    </row>
    <row r="39" spans="2:7" ht="20.25" x14ac:dyDescent="0.2">
      <c r="B39" s="42"/>
      <c r="C39" s="46" t="s">
        <v>43</v>
      </c>
      <c r="D39" s="46"/>
      <c r="E39" s="46"/>
      <c r="F39" s="46"/>
      <c r="G39" s="150">
        <v>39500</v>
      </c>
    </row>
    <row r="40" spans="2:7" ht="20.25" x14ac:dyDescent="0.2">
      <c r="B40" s="42"/>
      <c r="C40" s="46" t="s">
        <v>44</v>
      </c>
      <c r="D40" s="46"/>
      <c r="E40" s="46"/>
      <c r="F40" s="46"/>
      <c r="G40" s="150">
        <v>4840</v>
      </c>
    </row>
    <row r="41" spans="2:7" ht="20.25" x14ac:dyDescent="0.2">
      <c r="B41" s="42"/>
      <c r="C41" s="46" t="s">
        <v>45</v>
      </c>
      <c r="D41" s="46"/>
      <c r="E41" s="46"/>
      <c r="F41" s="46"/>
      <c r="G41" s="150">
        <v>1735</v>
      </c>
    </row>
    <row r="42" spans="2:7" ht="20.25" x14ac:dyDescent="0.2">
      <c r="B42" s="42"/>
      <c r="C42" s="46" t="s">
        <v>46</v>
      </c>
      <c r="D42" s="46"/>
      <c r="E42" s="46"/>
      <c r="F42" s="46"/>
      <c r="G42" s="150">
        <v>12125</v>
      </c>
    </row>
    <row r="43" spans="2:7" ht="20.25" x14ac:dyDescent="0.2">
      <c r="B43" s="46"/>
      <c r="C43" s="46" t="s">
        <v>48</v>
      </c>
      <c r="D43" s="46"/>
      <c r="E43" s="46"/>
      <c r="F43" s="46"/>
      <c r="G43" s="150">
        <v>12252</v>
      </c>
    </row>
    <row r="44" spans="2:7" ht="20.25" x14ac:dyDescent="0.2">
      <c r="B44" s="46"/>
      <c r="C44" s="46" t="s">
        <v>49</v>
      </c>
      <c r="D44" s="46"/>
      <c r="E44" s="46"/>
      <c r="F44" s="46"/>
      <c r="G44" s="150">
        <v>13564</v>
      </c>
    </row>
    <row r="45" spans="2:7" ht="20.25" x14ac:dyDescent="0.2">
      <c r="B45" s="46"/>
      <c r="C45" s="46" t="s">
        <v>50</v>
      </c>
      <c r="D45" s="46"/>
      <c r="E45" s="46"/>
      <c r="F45" s="46"/>
      <c r="G45" s="150">
        <v>875</v>
      </c>
    </row>
    <row r="46" spans="2:7" ht="20.25" x14ac:dyDescent="0.2">
      <c r="B46" s="46"/>
      <c r="C46" s="46" t="s">
        <v>51</v>
      </c>
      <c r="D46" s="46"/>
      <c r="E46" s="46"/>
      <c r="F46" s="46"/>
      <c r="G46" s="150">
        <f>10039+1500</f>
        <v>11539</v>
      </c>
    </row>
    <row r="47" spans="2:7" ht="20.25" x14ac:dyDescent="0.2">
      <c r="B47" s="42"/>
      <c r="C47" s="46" t="s">
        <v>52</v>
      </c>
      <c r="D47" s="46"/>
      <c r="E47" s="46"/>
      <c r="F47" s="46"/>
      <c r="G47" s="150">
        <f>12623+2660</f>
        <v>15283</v>
      </c>
    </row>
    <row r="48" spans="2:7" ht="20.25" x14ac:dyDescent="0.2">
      <c r="B48" s="46"/>
      <c r="C48" s="46" t="s">
        <v>58</v>
      </c>
      <c r="D48" s="46"/>
      <c r="E48" s="46"/>
      <c r="F48" s="46"/>
      <c r="G48" s="150">
        <v>39977</v>
      </c>
    </row>
    <row r="49" spans="2:7" ht="20.25" x14ac:dyDescent="0.2">
      <c r="B49" s="46"/>
      <c r="C49" s="46" t="s">
        <v>53</v>
      </c>
      <c r="D49" s="46"/>
      <c r="E49" s="46"/>
      <c r="F49" s="46"/>
      <c r="G49" s="150">
        <v>19556</v>
      </c>
    </row>
    <row r="50" spans="2:7" ht="20.25" x14ac:dyDescent="0.2">
      <c r="B50" s="46"/>
      <c r="C50" s="46" t="s">
        <v>54</v>
      </c>
      <c r="D50" s="46"/>
      <c r="E50" s="46"/>
      <c r="F50" s="46"/>
      <c r="G50" s="150">
        <v>56100</v>
      </c>
    </row>
    <row r="51" spans="2:7" ht="20.25" x14ac:dyDescent="0.2">
      <c r="B51" s="46"/>
      <c r="C51" s="46" t="s">
        <v>55</v>
      </c>
      <c r="D51" s="46"/>
      <c r="E51" s="46"/>
      <c r="F51" s="46"/>
      <c r="G51" s="150">
        <f>750+86095</f>
        <v>86845</v>
      </c>
    </row>
    <row r="52" spans="2:7" ht="21" thickBot="1" x14ac:dyDescent="0.25">
      <c r="B52" s="46"/>
      <c r="C52" s="46"/>
      <c r="D52" s="46"/>
      <c r="E52" s="46"/>
      <c r="F52" s="46"/>
      <c r="G52" s="157"/>
    </row>
    <row r="53" spans="2:7" ht="20.25" x14ac:dyDescent="0.2">
      <c r="B53" s="42"/>
      <c r="C53" s="42"/>
      <c r="D53" s="42" t="s">
        <v>68</v>
      </c>
      <c r="E53" s="42"/>
      <c r="F53" s="42"/>
      <c r="G53" s="153">
        <f>SUM(G31:G51)</f>
        <v>1484352</v>
      </c>
    </row>
    <row r="54" spans="2:7" ht="21" thickBot="1" x14ac:dyDescent="0.25">
      <c r="B54" s="42"/>
      <c r="C54" s="42"/>
      <c r="D54" s="42"/>
      <c r="E54" s="42"/>
      <c r="F54" s="42"/>
      <c r="G54" s="157"/>
    </row>
    <row r="55" spans="2:7" ht="21" thickBot="1" x14ac:dyDescent="0.25">
      <c r="B55" s="42"/>
      <c r="C55" s="42"/>
      <c r="D55" s="42" t="s">
        <v>130</v>
      </c>
      <c r="E55" s="42"/>
      <c r="F55" s="42"/>
      <c r="G55" s="157">
        <f>G28-G53</f>
        <v>-28791</v>
      </c>
    </row>
  </sheetData>
  <pageMargins left="1.2" right="0" top="0.5" bottom="0.5" header="0.3" footer="0.3"/>
  <pageSetup scale="65"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69"/>
  <sheetViews>
    <sheetView workbookViewId="0"/>
  </sheetViews>
  <sheetFormatPr defaultRowHeight="14.25" x14ac:dyDescent="0.2"/>
  <cols>
    <col min="1" max="1" width="19.5" style="3" customWidth="1"/>
    <col min="2" max="2" width="15.25" style="3" hidden="1" customWidth="1"/>
    <col min="3" max="3" width="15.125" style="212" hidden="1" customWidth="1"/>
    <col min="4" max="7" width="15" customWidth="1"/>
    <col min="8" max="8" width="14.625" customWidth="1"/>
  </cols>
  <sheetData>
    <row r="1" spans="1:8" ht="21" x14ac:dyDescent="0.35">
      <c r="A1" s="395" t="s">
        <v>0</v>
      </c>
      <c r="B1" s="35"/>
      <c r="C1" s="36"/>
      <c r="D1" s="36"/>
      <c r="E1" s="36"/>
      <c r="F1" s="35"/>
      <c r="G1" s="148"/>
      <c r="H1" s="35"/>
    </row>
    <row r="2" spans="1:8" ht="21" x14ac:dyDescent="0.35">
      <c r="A2" s="395" t="s">
        <v>786</v>
      </c>
      <c r="B2" s="35"/>
      <c r="C2" s="36"/>
      <c r="D2" s="36"/>
      <c r="E2" s="36"/>
      <c r="F2" s="35"/>
      <c r="G2" s="148"/>
      <c r="H2" s="35"/>
    </row>
    <row r="3" spans="1:8" ht="21" x14ac:dyDescent="0.35">
      <c r="A3" s="395" t="str">
        <f>'August''25 State of Activities'!B3</f>
        <v>Eight Months Ended August 31, 2025 and August 31, 2024</v>
      </c>
      <c r="B3" s="35"/>
      <c r="C3" s="36"/>
      <c r="D3" s="36"/>
      <c r="E3" s="36"/>
      <c r="F3" s="35"/>
      <c r="G3" s="148"/>
      <c r="H3" s="35"/>
    </row>
    <row r="4" spans="1:8" ht="15" thickBot="1" x14ac:dyDescent="0.25"/>
    <row r="5" spans="1:8" ht="21.75" thickBot="1" x14ac:dyDescent="0.4">
      <c r="A5" s="890" t="s">
        <v>787</v>
      </c>
      <c r="B5" s="891"/>
      <c r="C5" s="891"/>
      <c r="D5" s="891"/>
      <c r="E5" s="891"/>
      <c r="F5" s="891"/>
      <c r="G5" s="891"/>
      <c r="H5" s="892"/>
    </row>
    <row r="6" spans="1:8" ht="7.5" customHeight="1" thickBot="1" x14ac:dyDescent="0.25">
      <c r="E6" s="19"/>
      <c r="F6" s="19"/>
      <c r="G6" s="19"/>
    </row>
    <row r="7" spans="1:8" ht="15.75" x14ac:dyDescent="0.25">
      <c r="A7" s="365" t="s">
        <v>788</v>
      </c>
      <c r="B7" s="366" t="s">
        <v>789</v>
      </c>
      <c r="C7" s="366" t="s">
        <v>790</v>
      </c>
      <c r="D7" s="366" t="s">
        <v>791</v>
      </c>
      <c r="E7" s="366" t="s">
        <v>792</v>
      </c>
      <c r="F7" s="366" t="s">
        <v>793</v>
      </c>
      <c r="G7" s="366" t="s">
        <v>794</v>
      </c>
      <c r="H7" s="365" t="s">
        <v>795</v>
      </c>
    </row>
    <row r="8" spans="1:8" ht="16.5" thickBot="1" x14ac:dyDescent="0.3">
      <c r="A8" s="367"/>
      <c r="B8" s="368" t="s">
        <v>796</v>
      </c>
      <c r="C8" s="368" t="s">
        <v>796</v>
      </c>
      <c r="D8" s="368" t="s">
        <v>796</v>
      </c>
      <c r="E8" s="368" t="s">
        <v>796</v>
      </c>
      <c r="F8" s="368" t="s">
        <v>796</v>
      </c>
      <c r="G8" s="368" t="s">
        <v>796</v>
      </c>
      <c r="H8" s="369" t="s">
        <v>797</v>
      </c>
    </row>
    <row r="9" spans="1:8" x14ac:dyDescent="0.2">
      <c r="A9" s="370">
        <v>42741</v>
      </c>
      <c r="B9" s="371">
        <v>1059.72</v>
      </c>
      <c r="C9" s="372">
        <f>6123.86-3246.88</f>
        <v>2876.9799999999996</v>
      </c>
      <c r="D9" s="371">
        <f>160.4+1401.46</f>
        <v>1561.8600000000001</v>
      </c>
      <c r="E9" s="371">
        <f>2007.36+883.16</f>
        <v>2890.52</v>
      </c>
      <c r="F9" s="371">
        <v>4174.08</v>
      </c>
      <c r="G9" s="371">
        <v>3187.95</v>
      </c>
      <c r="H9" s="371">
        <f>G9-F9</f>
        <v>-986.13000000000011</v>
      </c>
    </row>
    <row r="10" spans="1:8" x14ac:dyDescent="0.2">
      <c r="A10" s="373">
        <v>42748</v>
      </c>
      <c r="B10" s="374">
        <v>1351.72</v>
      </c>
      <c r="C10" s="371">
        <f>7232.22-3246.88</f>
        <v>3985.34</v>
      </c>
      <c r="D10" s="374">
        <v>3927.82</v>
      </c>
      <c r="E10" s="374">
        <v>3364.16</v>
      </c>
      <c r="F10" s="371">
        <v>4643.2299999999996</v>
      </c>
      <c r="G10" s="371">
        <v>3858.57</v>
      </c>
      <c r="H10" s="371">
        <f t="shared" ref="H10:H21" si="0">G10-F10</f>
        <v>-784.6599999999994</v>
      </c>
    </row>
    <row r="11" spans="1:8" x14ac:dyDescent="0.2">
      <c r="A11" s="373">
        <v>42755</v>
      </c>
      <c r="B11" s="374">
        <v>1237.58</v>
      </c>
      <c r="C11" s="374">
        <f>5493.18-2496.78</f>
        <v>2996.4</v>
      </c>
      <c r="D11" s="374">
        <v>3463.28</v>
      </c>
      <c r="E11" s="374">
        <v>3723.22</v>
      </c>
      <c r="F11" s="371">
        <v>3257.98</v>
      </c>
      <c r="G11" s="371">
        <v>2816.13</v>
      </c>
      <c r="H11" s="371">
        <f t="shared" si="0"/>
        <v>-441.84999999999991</v>
      </c>
    </row>
    <row r="12" spans="1:8" x14ac:dyDescent="0.2">
      <c r="A12" s="373">
        <v>42762</v>
      </c>
      <c r="B12" s="374">
        <v>1829.66</v>
      </c>
      <c r="C12" s="374">
        <f>6125.18-2535</f>
        <v>3590.1800000000003</v>
      </c>
      <c r="D12" s="374">
        <v>2947.54</v>
      </c>
      <c r="E12" s="374">
        <v>3026.63</v>
      </c>
      <c r="F12" s="371">
        <v>3503.82</v>
      </c>
      <c r="G12" s="371">
        <v>2957.14</v>
      </c>
      <c r="H12" s="371">
        <f t="shared" si="0"/>
        <v>-546.68000000000029</v>
      </c>
    </row>
    <row r="13" spans="1:8" x14ac:dyDescent="0.2">
      <c r="A13" s="373">
        <v>42769</v>
      </c>
      <c r="B13" s="374">
        <v>2363.12</v>
      </c>
      <c r="C13" s="374">
        <f>-3488.68+8424.94</f>
        <v>4936.26</v>
      </c>
      <c r="D13" s="374">
        <v>3434.46</v>
      </c>
      <c r="E13" s="374">
        <v>2986.58</v>
      </c>
      <c r="F13" s="371">
        <v>4063.43</v>
      </c>
      <c r="G13" s="371">
        <v>3878.62</v>
      </c>
      <c r="H13" s="371">
        <f t="shared" si="0"/>
        <v>-184.80999999999995</v>
      </c>
    </row>
    <row r="14" spans="1:8" x14ac:dyDescent="0.2">
      <c r="A14" s="373">
        <v>42776</v>
      </c>
      <c r="B14" s="374">
        <v>1902.16</v>
      </c>
      <c r="C14" s="374">
        <f>-2931.5+7254.06</f>
        <v>4322.5600000000004</v>
      </c>
      <c r="D14" s="374">
        <v>2818.82</v>
      </c>
      <c r="E14" s="374">
        <f>2800.67</f>
        <v>2800.67</v>
      </c>
      <c r="F14" s="371">
        <v>4002.46</v>
      </c>
      <c r="G14" s="371">
        <v>2987.96</v>
      </c>
      <c r="H14" s="371">
        <f t="shared" si="0"/>
        <v>-1014.5</v>
      </c>
    </row>
    <row r="15" spans="1:8" x14ac:dyDescent="0.2">
      <c r="A15" s="373">
        <v>42783</v>
      </c>
      <c r="B15" s="374">
        <v>2134.56</v>
      </c>
      <c r="C15" s="374">
        <f>-3653.28+8329.5-700</f>
        <v>3976.2199999999993</v>
      </c>
      <c r="D15" s="374">
        <v>2157.96</v>
      </c>
      <c r="E15" s="374">
        <v>2584.04</v>
      </c>
      <c r="F15" s="371">
        <v>2886.61</v>
      </c>
      <c r="G15" s="371">
        <v>3373.08</v>
      </c>
      <c r="H15" s="371">
        <f t="shared" si="0"/>
        <v>486.4699999999998</v>
      </c>
    </row>
    <row r="16" spans="1:8" x14ac:dyDescent="0.2">
      <c r="A16" s="373">
        <v>42790</v>
      </c>
      <c r="B16" s="374">
        <v>1676.08</v>
      </c>
      <c r="C16" s="374">
        <f>-2869.88+6693.6</f>
        <v>3823.7200000000003</v>
      </c>
      <c r="D16" s="374">
        <v>3063.52</v>
      </c>
      <c r="E16" s="374">
        <v>3161.19</v>
      </c>
      <c r="F16" s="371">
        <v>3994.7</v>
      </c>
      <c r="G16" s="371">
        <v>3335.8</v>
      </c>
      <c r="H16" s="371">
        <f t="shared" si="0"/>
        <v>-658.89999999999964</v>
      </c>
    </row>
    <row r="17" spans="1:8" x14ac:dyDescent="0.2">
      <c r="A17" s="373">
        <v>42797</v>
      </c>
      <c r="B17" s="374">
        <v>1418.9</v>
      </c>
      <c r="C17" s="374">
        <f>-3427.32+8141.08</f>
        <v>4713.76</v>
      </c>
      <c r="D17" s="374">
        <v>4534.3</v>
      </c>
      <c r="E17" s="374">
        <v>3860.23</v>
      </c>
      <c r="F17" s="371">
        <v>4172.5600000000004</v>
      </c>
      <c r="G17" s="371">
        <v>2335.96</v>
      </c>
      <c r="H17" s="371">
        <f t="shared" si="0"/>
        <v>-1836.6000000000004</v>
      </c>
    </row>
    <row r="18" spans="1:8" x14ac:dyDescent="0.2">
      <c r="A18" s="373">
        <v>42804</v>
      </c>
      <c r="B18" s="374">
        <v>1013.74</v>
      </c>
      <c r="C18" s="374">
        <f>-2919.8+6449.26</f>
        <v>3529.46</v>
      </c>
      <c r="D18" s="374">
        <v>3673.88</v>
      </c>
      <c r="E18" s="374">
        <v>4004</v>
      </c>
      <c r="F18" s="371">
        <v>3762.8</v>
      </c>
      <c r="G18" s="371">
        <v>1711.94</v>
      </c>
      <c r="H18" s="371">
        <f t="shared" si="0"/>
        <v>-2050.86</v>
      </c>
    </row>
    <row r="19" spans="1:8" x14ac:dyDescent="0.2">
      <c r="A19" s="373">
        <v>42811</v>
      </c>
      <c r="B19" s="375">
        <v>3629.96</v>
      </c>
      <c r="C19" s="374">
        <f>-3708.38+7621.78</f>
        <v>3913.3999999999996</v>
      </c>
      <c r="D19" s="374">
        <v>4030.4</v>
      </c>
      <c r="E19" s="374">
        <v>3222.03</v>
      </c>
      <c r="F19" s="371">
        <v>4340.3</v>
      </c>
      <c r="G19" s="371">
        <v>942.16</v>
      </c>
      <c r="H19" s="371">
        <f t="shared" si="0"/>
        <v>-3398.1400000000003</v>
      </c>
    </row>
    <row r="20" spans="1:8" x14ac:dyDescent="0.2">
      <c r="A20" s="373">
        <v>42818</v>
      </c>
      <c r="B20" s="375">
        <v>3364</v>
      </c>
      <c r="C20" s="374">
        <f>-3726.84+7846.28</f>
        <v>4119.4399999999996</v>
      </c>
      <c r="D20" s="374">
        <v>3975.2</v>
      </c>
      <c r="E20" s="374">
        <v>3684.17</v>
      </c>
      <c r="F20" s="371">
        <v>3849.95</v>
      </c>
      <c r="G20" s="371">
        <v>1706.08</v>
      </c>
      <c r="H20" s="371">
        <f t="shared" si="0"/>
        <v>-2143.87</v>
      </c>
    </row>
    <row r="21" spans="1:8" ht="15" thickBot="1" x14ac:dyDescent="0.25">
      <c r="A21" s="373">
        <v>42825</v>
      </c>
      <c r="B21" s="375">
        <v>3587</v>
      </c>
      <c r="C21" s="374">
        <f>-3329.82+7562.9</f>
        <v>4233.08</v>
      </c>
      <c r="D21" s="374">
        <v>4280.8</v>
      </c>
      <c r="E21" s="375">
        <v>4118.96</v>
      </c>
      <c r="F21" s="376">
        <v>4082.74</v>
      </c>
      <c r="G21" s="376">
        <v>2002.52</v>
      </c>
      <c r="H21" s="371">
        <f t="shared" si="0"/>
        <v>-2080.2199999999998</v>
      </c>
    </row>
    <row r="22" spans="1:8" ht="16.5" thickBot="1" x14ac:dyDescent="0.25">
      <c r="A22" s="377" t="s">
        <v>798</v>
      </c>
      <c r="B22" s="378">
        <f t="shared" ref="B22:H22" si="1">SUM(B9:B21)</f>
        <v>26568.2</v>
      </c>
      <c r="C22" s="378">
        <f t="shared" si="1"/>
        <v>51016.80000000001</v>
      </c>
      <c r="D22" s="378">
        <f t="shared" si="1"/>
        <v>43869.84</v>
      </c>
      <c r="E22" s="378">
        <f t="shared" si="1"/>
        <v>43426.399999999994</v>
      </c>
      <c r="F22" s="378">
        <f t="shared" si="1"/>
        <v>50734.659999999996</v>
      </c>
      <c r="G22" s="378">
        <f t="shared" si="1"/>
        <v>35093.909999999989</v>
      </c>
      <c r="H22" s="378">
        <f t="shared" si="1"/>
        <v>-15640.749999999998</v>
      </c>
    </row>
    <row r="23" spans="1:8" x14ac:dyDescent="0.2">
      <c r="A23" s="379">
        <v>42832</v>
      </c>
      <c r="B23" s="374">
        <v>3525.02</v>
      </c>
      <c r="C23" s="371">
        <v>4517.8999999999996</v>
      </c>
      <c r="D23" s="371">
        <v>4162.12</v>
      </c>
      <c r="E23" s="371">
        <v>4043.7</v>
      </c>
      <c r="F23" s="371">
        <v>3768.69</v>
      </c>
      <c r="G23" s="371">
        <v>2018.44</v>
      </c>
      <c r="H23" s="371">
        <f>G23-F23</f>
        <v>-1750.25</v>
      </c>
    </row>
    <row r="24" spans="1:8" x14ac:dyDescent="0.2">
      <c r="A24" s="379">
        <v>42839</v>
      </c>
      <c r="B24" s="374">
        <v>3842.84</v>
      </c>
      <c r="C24" s="371">
        <v>4554.42</v>
      </c>
      <c r="D24" s="374">
        <v>4616</v>
      </c>
      <c r="E24" s="374">
        <v>4136.18</v>
      </c>
      <c r="F24" s="371">
        <v>4345.16</v>
      </c>
      <c r="G24" s="371">
        <v>5284.52</v>
      </c>
      <c r="H24" s="371">
        <f t="shared" ref="H24:H63" si="2">G24-F24</f>
        <v>939.36000000000058</v>
      </c>
    </row>
    <row r="25" spans="1:8" x14ac:dyDescent="0.2">
      <c r="A25" s="379">
        <v>42846</v>
      </c>
      <c r="B25" s="374">
        <v>5337.82</v>
      </c>
      <c r="C25" s="374">
        <v>4041.14</v>
      </c>
      <c r="D25" s="374">
        <v>3729.1</v>
      </c>
      <c r="E25" s="374">
        <v>4132.83</v>
      </c>
      <c r="F25" s="371">
        <v>4267.46</v>
      </c>
      <c r="G25" s="371">
        <v>4715.9799999999996</v>
      </c>
      <c r="H25" s="371">
        <f t="shared" si="2"/>
        <v>448.51999999999953</v>
      </c>
    </row>
    <row r="26" spans="1:8" x14ac:dyDescent="0.2">
      <c r="A26" s="379">
        <v>42853</v>
      </c>
      <c r="B26" s="374">
        <v>4973.68</v>
      </c>
      <c r="C26" s="374">
        <v>4321.8599999999997</v>
      </c>
      <c r="D26" s="374">
        <v>3706.08</v>
      </c>
      <c r="E26" s="374">
        <v>4536.74</v>
      </c>
      <c r="F26" s="371">
        <v>3953.61</v>
      </c>
      <c r="G26" s="371">
        <v>4499.7</v>
      </c>
      <c r="H26" s="371">
        <f t="shared" si="2"/>
        <v>546.08999999999969</v>
      </c>
    </row>
    <row r="27" spans="1:8" x14ac:dyDescent="0.2">
      <c r="A27" s="379">
        <v>42860</v>
      </c>
      <c r="B27" s="374">
        <v>3187.22</v>
      </c>
      <c r="C27" s="374">
        <v>4732.8999999999996</v>
      </c>
      <c r="D27" s="374">
        <v>3421.72</v>
      </c>
      <c r="E27" s="374">
        <f>3478.64+72+758.56</f>
        <v>4309.2</v>
      </c>
      <c r="F27" s="371">
        <v>4192.32</v>
      </c>
      <c r="G27" s="371">
        <v>4204.16</v>
      </c>
      <c r="H27" s="371">
        <f t="shared" si="2"/>
        <v>11.840000000000146</v>
      </c>
    </row>
    <row r="28" spans="1:8" x14ac:dyDescent="0.2">
      <c r="A28" s="379">
        <v>42867</v>
      </c>
      <c r="B28" s="374">
        <v>2237.2399999999998</v>
      </c>
      <c r="C28" s="374">
        <v>4138.8999999999996</v>
      </c>
      <c r="D28" s="374">
        <v>3907.94</v>
      </c>
      <c r="E28" s="374">
        <f>4050.94+212.76</f>
        <v>4263.7</v>
      </c>
      <c r="F28" s="371">
        <v>4361.47</v>
      </c>
      <c r="G28" s="371">
        <v>4571.82</v>
      </c>
      <c r="H28" s="371">
        <f t="shared" si="2"/>
        <v>210.34999999999945</v>
      </c>
    </row>
    <row r="29" spans="1:8" x14ac:dyDescent="0.2">
      <c r="A29" s="379">
        <v>42874</v>
      </c>
      <c r="B29" s="374">
        <v>3446.22</v>
      </c>
      <c r="C29" s="374">
        <v>5447.82</v>
      </c>
      <c r="D29" s="374">
        <f>3359.74+70.28</f>
        <v>3430.02</v>
      </c>
      <c r="E29" s="374">
        <v>3958.56</v>
      </c>
      <c r="F29" s="371">
        <v>3957.78</v>
      </c>
      <c r="G29" s="371">
        <v>4089.18</v>
      </c>
      <c r="H29" s="371">
        <f t="shared" si="2"/>
        <v>131.39999999999964</v>
      </c>
    </row>
    <row r="30" spans="1:8" x14ac:dyDescent="0.2">
      <c r="A30" s="379">
        <v>42881</v>
      </c>
      <c r="B30" s="374">
        <v>3507.94</v>
      </c>
      <c r="C30" s="374">
        <v>4315.03</v>
      </c>
      <c r="D30" s="374">
        <v>3880.8</v>
      </c>
      <c r="E30" s="374">
        <v>4314.9799999999996</v>
      </c>
      <c r="F30" s="371">
        <v>3634.01</v>
      </c>
      <c r="G30" s="371">
        <v>3993.63</v>
      </c>
      <c r="H30" s="371">
        <f t="shared" si="2"/>
        <v>359.61999999999989</v>
      </c>
    </row>
    <row r="31" spans="1:8" x14ac:dyDescent="0.2">
      <c r="A31" s="379">
        <v>42888</v>
      </c>
      <c r="B31" s="374">
        <v>3609.72</v>
      </c>
      <c r="C31" s="374">
        <v>3053.8</v>
      </c>
      <c r="D31" s="374">
        <v>2686.82</v>
      </c>
      <c r="E31" s="374">
        <v>2987.04</v>
      </c>
      <c r="F31" s="371">
        <v>2684.24</v>
      </c>
      <c r="G31" s="371">
        <v>2384.3200000000002</v>
      </c>
      <c r="H31" s="371">
        <f t="shared" si="2"/>
        <v>-299.91999999999962</v>
      </c>
    </row>
    <row r="32" spans="1:8" x14ac:dyDescent="0.2">
      <c r="A32" s="379">
        <v>42895</v>
      </c>
      <c r="B32" s="374">
        <v>2033.76</v>
      </c>
      <c r="C32" s="374">
        <v>4194.8599999999997</v>
      </c>
      <c r="D32" s="374">
        <v>3006.14</v>
      </c>
      <c r="E32" s="374">
        <v>3675.8</v>
      </c>
      <c r="F32" s="371">
        <v>3674.42</v>
      </c>
      <c r="G32" s="371">
        <v>3297.66</v>
      </c>
      <c r="H32" s="371">
        <f t="shared" si="2"/>
        <v>-376.76000000000022</v>
      </c>
    </row>
    <row r="33" spans="1:8" x14ac:dyDescent="0.2">
      <c r="A33" s="379">
        <v>42902</v>
      </c>
      <c r="B33" s="374">
        <v>2786.98</v>
      </c>
      <c r="C33" s="374">
        <v>3980.08</v>
      </c>
      <c r="D33" s="374">
        <v>3579.53</v>
      </c>
      <c r="E33" s="374">
        <v>4147.8999999999996</v>
      </c>
      <c r="F33" s="371">
        <v>4182.5200000000004</v>
      </c>
      <c r="G33" s="371">
        <v>3252.16</v>
      </c>
      <c r="H33" s="371">
        <f t="shared" si="2"/>
        <v>-930.36000000000058</v>
      </c>
    </row>
    <row r="34" spans="1:8" x14ac:dyDescent="0.2">
      <c r="A34" s="379">
        <v>42909</v>
      </c>
      <c r="B34" s="375">
        <v>2436.9</v>
      </c>
      <c r="C34" s="374">
        <v>4001.26</v>
      </c>
      <c r="D34" s="374">
        <v>3401.21</v>
      </c>
      <c r="E34" s="374">
        <v>3774.82</v>
      </c>
      <c r="F34" s="371">
        <v>3596.56</v>
      </c>
      <c r="G34" s="371">
        <v>3139.68</v>
      </c>
      <c r="H34" s="371">
        <f t="shared" si="2"/>
        <v>-456.88000000000011</v>
      </c>
    </row>
    <row r="35" spans="1:8" ht="15" thickBot="1" x14ac:dyDescent="0.25">
      <c r="A35" s="379">
        <v>42916</v>
      </c>
      <c r="B35" s="375">
        <v>2410.56</v>
      </c>
      <c r="C35" s="374">
        <v>3928.74</v>
      </c>
      <c r="D35" s="375">
        <v>3288.01</v>
      </c>
      <c r="E35" s="375">
        <v>3466.07</v>
      </c>
      <c r="F35" s="376">
        <v>3867.92</v>
      </c>
      <c r="G35" s="376">
        <v>3368.72</v>
      </c>
      <c r="H35" s="371">
        <f t="shared" si="2"/>
        <v>-499.20000000000027</v>
      </c>
    </row>
    <row r="36" spans="1:8" ht="16.5" thickBot="1" x14ac:dyDescent="0.25">
      <c r="A36" s="377" t="s">
        <v>799</v>
      </c>
      <c r="B36" s="378">
        <f t="shared" ref="B36:H36" si="3">SUM(B23:B35)</f>
        <v>43335.9</v>
      </c>
      <c r="C36" s="378">
        <f t="shared" si="3"/>
        <v>55228.710000000006</v>
      </c>
      <c r="D36" s="378">
        <f t="shared" si="3"/>
        <v>46815.49</v>
      </c>
      <c r="E36" s="378">
        <f t="shared" si="3"/>
        <v>51747.520000000004</v>
      </c>
      <c r="F36" s="378">
        <f t="shared" si="3"/>
        <v>50486.159999999989</v>
      </c>
      <c r="G36" s="378">
        <f t="shared" si="3"/>
        <v>48819.970000000008</v>
      </c>
      <c r="H36" s="378">
        <f t="shared" si="3"/>
        <v>-1666.1900000000019</v>
      </c>
    </row>
    <row r="37" spans="1:8" x14ac:dyDescent="0.2">
      <c r="A37" s="379">
        <v>42923</v>
      </c>
      <c r="B37" s="371">
        <f>899.92+2410.56</f>
        <v>3310.48</v>
      </c>
      <c r="C37" s="371">
        <v>3059.59</v>
      </c>
      <c r="D37" s="371">
        <f>952.56+2445.69</f>
        <v>3398.25</v>
      </c>
      <c r="E37" s="371">
        <f>1313.52+1315.48</f>
        <v>2629</v>
      </c>
      <c r="F37" s="371">
        <v>3092.18</v>
      </c>
      <c r="G37" s="371">
        <v>2501.6799999999998</v>
      </c>
      <c r="H37" s="371">
        <f t="shared" si="2"/>
        <v>-590.5</v>
      </c>
    </row>
    <row r="38" spans="1:8" x14ac:dyDescent="0.2">
      <c r="A38" s="373">
        <v>42930</v>
      </c>
      <c r="B38" s="371">
        <v>2613.8200000000002</v>
      </c>
      <c r="C38" s="371">
        <v>4164.28</v>
      </c>
      <c r="D38" s="374">
        <v>3621.49</v>
      </c>
      <c r="E38" s="374">
        <v>3328.78</v>
      </c>
      <c r="F38" s="371">
        <v>4363</v>
      </c>
      <c r="G38" s="371">
        <v>3463.97</v>
      </c>
      <c r="H38" s="371">
        <f t="shared" si="2"/>
        <v>-899.0300000000002</v>
      </c>
    </row>
    <row r="39" spans="1:8" x14ac:dyDescent="0.2">
      <c r="A39" s="373">
        <v>42937</v>
      </c>
      <c r="B39" s="374">
        <v>2285.09</v>
      </c>
      <c r="C39" s="374">
        <v>3698.36</v>
      </c>
      <c r="D39" s="374">
        <v>3478.53</v>
      </c>
      <c r="E39" s="374">
        <v>4114.08</v>
      </c>
      <c r="F39" s="371">
        <v>3936.33</v>
      </c>
      <c r="G39" s="371">
        <v>3416.66</v>
      </c>
      <c r="H39" s="371">
        <f t="shared" si="2"/>
        <v>-519.67000000000007</v>
      </c>
    </row>
    <row r="40" spans="1:8" x14ac:dyDescent="0.2">
      <c r="A40" s="373">
        <v>42944</v>
      </c>
      <c r="B40" s="374">
        <v>1982.06</v>
      </c>
      <c r="C40" s="374">
        <v>3907.78</v>
      </c>
      <c r="D40" s="374">
        <v>3713.11</v>
      </c>
      <c r="E40" s="374">
        <v>4010.57</v>
      </c>
      <c r="F40" s="371">
        <v>3962.85</v>
      </c>
      <c r="G40" s="371">
        <v>3139.68</v>
      </c>
      <c r="H40" s="371">
        <f t="shared" si="2"/>
        <v>-823.17000000000007</v>
      </c>
    </row>
    <row r="41" spans="1:8" x14ac:dyDescent="0.2">
      <c r="A41" s="373">
        <v>42951</v>
      </c>
      <c r="B41" s="374">
        <v>2442</v>
      </c>
      <c r="C41" s="374">
        <v>3807.12</v>
      </c>
      <c r="D41" s="374">
        <v>3318.21</v>
      </c>
      <c r="E41" s="374">
        <v>3520.16</v>
      </c>
      <c r="F41" s="371">
        <v>3810.8</v>
      </c>
      <c r="G41" s="371">
        <v>3171.9</v>
      </c>
      <c r="H41" s="371">
        <f t="shared" si="2"/>
        <v>-638.90000000000009</v>
      </c>
    </row>
    <row r="42" spans="1:8" x14ac:dyDescent="0.2">
      <c r="A42" s="373">
        <v>42958</v>
      </c>
      <c r="B42" s="374">
        <v>2003.68</v>
      </c>
      <c r="C42" s="374">
        <v>3636.64</v>
      </c>
      <c r="D42" s="374">
        <v>2999.63</v>
      </c>
      <c r="E42" s="374">
        <v>3150.64</v>
      </c>
      <c r="F42" s="371">
        <v>3905.08</v>
      </c>
      <c r="G42" s="371">
        <v>3339.76</v>
      </c>
      <c r="H42" s="371">
        <f t="shared" si="2"/>
        <v>-565.31999999999971</v>
      </c>
    </row>
    <row r="43" spans="1:8" x14ac:dyDescent="0.2">
      <c r="A43" s="373">
        <v>42965</v>
      </c>
      <c r="B43" s="374">
        <v>1971.38</v>
      </c>
      <c r="C43" s="374">
        <v>3658.28</v>
      </c>
      <c r="D43" s="374">
        <v>4080.16</v>
      </c>
      <c r="E43" s="374">
        <v>3780.2</v>
      </c>
      <c r="F43" s="371">
        <v>3747.05</v>
      </c>
      <c r="G43" s="371">
        <v>3333.42</v>
      </c>
      <c r="H43" s="371">
        <f t="shared" si="2"/>
        <v>-413.63000000000011</v>
      </c>
    </row>
    <row r="44" spans="1:8" x14ac:dyDescent="0.2">
      <c r="A44" s="373">
        <v>42972</v>
      </c>
      <c r="B44" s="374">
        <v>2725.14</v>
      </c>
      <c r="C44" s="374">
        <v>4096.0200000000004</v>
      </c>
      <c r="D44" s="374">
        <v>4309.82</v>
      </c>
      <c r="E44" s="374">
        <v>3361.86</v>
      </c>
      <c r="F44" s="371">
        <v>3788.4</v>
      </c>
      <c r="G44" s="371">
        <v>3772.14</v>
      </c>
      <c r="H44" s="371">
        <f t="shared" si="2"/>
        <v>-16.260000000000218</v>
      </c>
    </row>
    <row r="45" spans="1:8" x14ac:dyDescent="0.2">
      <c r="A45" s="373">
        <v>42979</v>
      </c>
      <c r="B45" s="374">
        <v>2749.96</v>
      </c>
      <c r="C45" s="374">
        <v>3825.18</v>
      </c>
      <c r="D45" s="374">
        <v>3712.48</v>
      </c>
      <c r="E45" s="374">
        <v>3605.07</v>
      </c>
      <c r="F45" s="371">
        <v>3858.34</v>
      </c>
      <c r="G45" s="371">
        <v>3206</v>
      </c>
      <c r="H45" s="371">
        <f t="shared" si="2"/>
        <v>-652.34000000000015</v>
      </c>
    </row>
    <row r="46" spans="1:8" x14ac:dyDescent="0.2">
      <c r="A46" s="373">
        <v>42986</v>
      </c>
      <c r="B46" s="374">
        <v>2323.9</v>
      </c>
      <c r="C46" s="374">
        <v>2717.46</v>
      </c>
      <c r="D46" s="374">
        <v>3072.96</v>
      </c>
      <c r="E46" s="374">
        <f>753.86+2730.15</f>
        <v>3484.01</v>
      </c>
      <c r="F46" s="371">
        <v>3265.99</v>
      </c>
      <c r="G46" s="371">
        <v>2271.2199999999998</v>
      </c>
      <c r="H46" s="371">
        <f t="shared" si="2"/>
        <v>-994.77</v>
      </c>
    </row>
    <row r="47" spans="1:8" x14ac:dyDescent="0.2">
      <c r="A47" s="373">
        <v>42993</v>
      </c>
      <c r="B47" s="374">
        <v>2621.61</v>
      </c>
      <c r="C47" s="374">
        <v>3748.38</v>
      </c>
      <c r="D47" s="374">
        <v>3926.25</v>
      </c>
      <c r="E47" s="374">
        <v>3212.96</v>
      </c>
      <c r="F47" s="371">
        <v>3712.16</v>
      </c>
      <c r="G47" s="371">
        <v>2688.36</v>
      </c>
      <c r="H47" s="371">
        <f t="shared" si="2"/>
        <v>-1023.7999999999997</v>
      </c>
    </row>
    <row r="48" spans="1:8" x14ac:dyDescent="0.2">
      <c r="A48" s="373">
        <v>43000</v>
      </c>
      <c r="B48" s="374">
        <v>2394.14</v>
      </c>
      <c r="C48" s="374">
        <v>3766.8</v>
      </c>
      <c r="D48" s="374">
        <v>4164.1899999999996</v>
      </c>
      <c r="E48" s="374">
        <v>4004.92</v>
      </c>
      <c r="F48" s="371">
        <v>3509.17</v>
      </c>
      <c r="G48" s="371">
        <v>3180.04</v>
      </c>
      <c r="H48" s="371">
        <f t="shared" si="2"/>
        <v>-329.13000000000011</v>
      </c>
    </row>
    <row r="49" spans="1:8" ht="15" thickBot="1" x14ac:dyDescent="0.25">
      <c r="A49" s="373">
        <v>43007</v>
      </c>
      <c r="B49" s="375">
        <v>2669.64</v>
      </c>
      <c r="C49" s="375">
        <v>4136.58</v>
      </c>
      <c r="D49" s="375">
        <v>3566.31</v>
      </c>
      <c r="E49" s="375">
        <v>3837.41</v>
      </c>
      <c r="F49" s="376">
        <v>3803.3</v>
      </c>
      <c r="G49" s="376">
        <v>2437.88</v>
      </c>
      <c r="H49" s="371">
        <f t="shared" si="2"/>
        <v>-1365.42</v>
      </c>
    </row>
    <row r="50" spans="1:8" ht="16.5" thickBot="1" x14ac:dyDescent="0.25">
      <c r="A50" s="377" t="s">
        <v>800</v>
      </c>
      <c r="B50" s="378">
        <f>SUM(B37:B49)</f>
        <v>32092.899999999998</v>
      </c>
      <c r="C50" s="378">
        <f>SUM(C37:C49)</f>
        <v>48222.47</v>
      </c>
      <c r="D50" s="378">
        <f>SUM(D37:D49)</f>
        <v>47361.39</v>
      </c>
      <c r="E50" s="378">
        <f>SUM(E37:E49)</f>
        <v>46039.66</v>
      </c>
      <c r="F50" s="378">
        <f t="shared" ref="F50:H50" si="4">SUM(F37:F49)</f>
        <v>48754.649999999994</v>
      </c>
      <c r="G50" s="378">
        <f t="shared" si="4"/>
        <v>39922.71</v>
      </c>
      <c r="H50" s="378">
        <f t="shared" si="4"/>
        <v>-8831.9399999999987</v>
      </c>
    </row>
    <row r="51" spans="1:8" x14ac:dyDescent="0.2">
      <c r="A51" s="379">
        <v>43014</v>
      </c>
      <c r="B51" s="371">
        <v>3051.16</v>
      </c>
      <c r="C51" s="371">
        <v>4721</v>
      </c>
      <c r="D51" s="371">
        <f>1531.24+2227.04</f>
        <v>3758.2799999999997</v>
      </c>
      <c r="E51" s="371">
        <v>3921.83</v>
      </c>
      <c r="F51" s="371">
        <v>3911.96</v>
      </c>
      <c r="G51" s="371">
        <v>3047.82</v>
      </c>
      <c r="H51" s="371">
        <f t="shared" si="2"/>
        <v>-864.13999999999987</v>
      </c>
    </row>
    <row r="52" spans="1:8" x14ac:dyDescent="0.2">
      <c r="A52" s="373">
        <v>43021</v>
      </c>
      <c r="B52" s="374">
        <v>2579.96</v>
      </c>
      <c r="C52" s="374">
        <v>4035.24</v>
      </c>
      <c r="D52" s="374">
        <v>4232.92</v>
      </c>
      <c r="E52" s="374">
        <v>3403.46</v>
      </c>
      <c r="F52" s="371">
        <v>3093.5</v>
      </c>
      <c r="G52" s="371">
        <v>2010.94</v>
      </c>
      <c r="H52" s="371">
        <f t="shared" si="2"/>
        <v>-1082.56</v>
      </c>
    </row>
    <row r="53" spans="1:8" x14ac:dyDescent="0.2">
      <c r="A53" s="373">
        <v>43028</v>
      </c>
      <c r="B53" s="374">
        <v>3119.16</v>
      </c>
      <c r="C53" s="374">
        <v>2972.08</v>
      </c>
      <c r="D53" s="374">
        <v>3057.22</v>
      </c>
      <c r="E53" s="374">
        <v>3116.16</v>
      </c>
      <c r="F53" s="371">
        <v>4261.32</v>
      </c>
      <c r="G53" s="371">
        <v>3314.5</v>
      </c>
      <c r="H53" s="371">
        <f t="shared" si="2"/>
        <v>-946.81999999999971</v>
      </c>
    </row>
    <row r="54" spans="1:8" x14ac:dyDescent="0.2">
      <c r="A54" s="373">
        <v>43035</v>
      </c>
      <c r="B54" s="374">
        <v>2378.1999999999998</v>
      </c>
      <c r="C54" s="374">
        <v>3341.66</v>
      </c>
      <c r="D54" s="374">
        <v>3745.65</v>
      </c>
      <c r="E54" s="374">
        <v>3664.58</v>
      </c>
      <c r="F54" s="371">
        <v>3860.55</v>
      </c>
      <c r="G54" s="371">
        <v>2905</v>
      </c>
      <c r="H54" s="371">
        <f t="shared" si="2"/>
        <v>-955.55000000000018</v>
      </c>
    </row>
    <row r="55" spans="1:8" x14ac:dyDescent="0.2">
      <c r="A55" s="373">
        <v>43042</v>
      </c>
      <c r="B55" s="374">
        <v>2153.36</v>
      </c>
      <c r="C55" s="374">
        <v>3165.08</v>
      </c>
      <c r="D55" s="374">
        <f>3171.04+47.44+30.24</f>
        <v>3248.72</v>
      </c>
      <c r="E55" s="374">
        <v>3792.71</v>
      </c>
      <c r="F55" s="371">
        <v>3942.48</v>
      </c>
      <c r="G55" s="371">
        <v>3169.18</v>
      </c>
      <c r="H55" s="371">
        <f t="shared" si="2"/>
        <v>-773.30000000000018</v>
      </c>
    </row>
    <row r="56" spans="1:8" x14ac:dyDescent="0.2">
      <c r="A56" s="373">
        <v>43049</v>
      </c>
      <c r="B56" s="374">
        <v>1549.7</v>
      </c>
      <c r="C56" s="374">
        <v>3024.18</v>
      </c>
      <c r="D56" s="374">
        <v>3967.37</v>
      </c>
      <c r="E56" s="374">
        <v>3804.52</v>
      </c>
      <c r="F56" s="371">
        <v>3933.48</v>
      </c>
      <c r="G56" s="371">
        <v>2670.04</v>
      </c>
      <c r="H56" s="371">
        <f t="shared" si="2"/>
        <v>-1263.44</v>
      </c>
    </row>
    <row r="57" spans="1:8" x14ac:dyDescent="0.2">
      <c r="A57" s="373">
        <v>43056</v>
      </c>
      <c r="B57" s="374">
        <f>(5311.2-178.1)*0.5</f>
        <v>2566.5499999999997</v>
      </c>
      <c r="C57" s="374">
        <v>3500.86</v>
      </c>
      <c r="D57" s="374">
        <v>4007.55</v>
      </c>
      <c r="E57" s="374">
        <v>3693.64</v>
      </c>
      <c r="F57" s="371">
        <v>3860.4</v>
      </c>
      <c r="G57" s="371">
        <v>2400.7199999999998</v>
      </c>
      <c r="H57" s="371">
        <f t="shared" si="2"/>
        <v>-1459.6800000000003</v>
      </c>
    </row>
    <row r="58" spans="1:8" x14ac:dyDescent="0.2">
      <c r="A58" s="373">
        <v>43063</v>
      </c>
      <c r="B58" s="374">
        <f>(5311.2-178.1)*0.5</f>
        <v>2566.5499999999997</v>
      </c>
      <c r="C58" s="374">
        <v>4015.8</v>
      </c>
      <c r="D58" s="374">
        <v>4445.62</v>
      </c>
      <c r="E58" s="374">
        <v>3499.88</v>
      </c>
      <c r="F58" s="371">
        <v>1675.8</v>
      </c>
      <c r="G58" s="371">
        <v>1268.44</v>
      </c>
      <c r="H58" s="371">
        <f t="shared" si="2"/>
        <v>-407.3599999999999</v>
      </c>
    </row>
    <row r="59" spans="1:8" x14ac:dyDescent="0.2">
      <c r="A59" s="373">
        <v>43070</v>
      </c>
      <c r="B59" s="374">
        <v>3577.34</v>
      </c>
      <c r="C59" s="374">
        <v>2434.3200000000002</v>
      </c>
      <c r="D59" s="374">
        <v>1953.09</v>
      </c>
      <c r="E59" s="374">
        <v>2000.54</v>
      </c>
      <c r="F59" s="371">
        <v>3669.06</v>
      </c>
      <c r="G59" s="371">
        <v>2816.72</v>
      </c>
      <c r="H59" s="371">
        <f t="shared" si="2"/>
        <v>-852.34000000000015</v>
      </c>
    </row>
    <row r="60" spans="1:8" x14ac:dyDescent="0.2">
      <c r="A60" s="373">
        <v>43077</v>
      </c>
      <c r="B60" s="374">
        <v>3486.12</v>
      </c>
      <c r="C60" s="374">
        <v>3291.9</v>
      </c>
      <c r="D60" s="374">
        <v>3710.06</v>
      </c>
      <c r="E60" s="374">
        <f>2372.46+627.88</f>
        <v>3000.34</v>
      </c>
      <c r="F60" s="371">
        <v>3225.52</v>
      </c>
      <c r="G60" s="371">
        <v>2427</v>
      </c>
      <c r="H60" s="371">
        <f t="shared" si="2"/>
        <v>-798.52</v>
      </c>
    </row>
    <row r="61" spans="1:8" x14ac:dyDescent="0.2">
      <c r="A61" s="373">
        <v>43084</v>
      </c>
      <c r="B61" s="374">
        <v>3539.16</v>
      </c>
      <c r="C61" s="374">
        <v>4047.94</v>
      </c>
      <c r="D61" s="374">
        <v>3873.59</v>
      </c>
      <c r="E61" s="374">
        <v>4104.09</v>
      </c>
      <c r="F61" s="371">
        <v>2933.78</v>
      </c>
      <c r="G61" s="371">
        <v>2427</v>
      </c>
      <c r="H61" s="371">
        <f t="shared" si="2"/>
        <v>-506.7800000000002</v>
      </c>
    </row>
    <row r="62" spans="1:8" x14ac:dyDescent="0.2">
      <c r="A62" s="373">
        <v>43091</v>
      </c>
      <c r="B62" s="374">
        <v>1609.64</v>
      </c>
      <c r="C62" s="374">
        <v>3903.54</v>
      </c>
      <c r="D62" s="374">
        <v>3580.24</v>
      </c>
      <c r="E62" s="374">
        <v>3625.1</v>
      </c>
      <c r="F62" s="371">
        <v>3555.5</v>
      </c>
      <c r="G62" s="371">
        <v>2649.12</v>
      </c>
      <c r="H62" s="371">
        <f t="shared" si="2"/>
        <v>-906.38000000000011</v>
      </c>
    </row>
    <row r="63" spans="1:8" ht="15" thickBot="1" x14ac:dyDescent="0.25">
      <c r="A63" s="380">
        <v>43098</v>
      </c>
      <c r="B63" s="381">
        <v>5154.84</v>
      </c>
      <c r="C63" s="381">
        <v>2331.48</v>
      </c>
      <c r="D63" s="381">
        <v>2383.63</v>
      </c>
      <c r="E63" s="381">
        <v>2256.69</v>
      </c>
      <c r="F63" s="382">
        <v>2486.06</v>
      </c>
      <c r="G63" s="382">
        <v>2088.3000000000002</v>
      </c>
      <c r="H63" s="371">
        <f t="shared" si="2"/>
        <v>-397.75999999999976</v>
      </c>
    </row>
    <row r="64" spans="1:8" ht="16.5" thickBot="1" x14ac:dyDescent="0.25">
      <c r="A64" s="377" t="s">
        <v>801</v>
      </c>
      <c r="B64" s="378">
        <f>SUM(B51:B63)</f>
        <v>37331.74</v>
      </c>
      <c r="C64" s="378">
        <f>SUM(C51:C63)</f>
        <v>44785.08</v>
      </c>
      <c r="D64" s="378">
        <f>SUM(D51:D63)</f>
        <v>45963.939999999988</v>
      </c>
      <c r="E64" s="378">
        <f>SUM(E51:E63)</f>
        <v>43883.54</v>
      </c>
      <c r="F64" s="378">
        <f>SUM(F51:F63)</f>
        <v>44409.409999999996</v>
      </c>
      <c r="G64" s="378">
        <f t="shared" ref="G64" si="5">SUM(G51:G63)</f>
        <v>33194.78</v>
      </c>
      <c r="H64" s="378">
        <f>SUM(H51:H63)</f>
        <v>-11214.63</v>
      </c>
    </row>
    <row r="65" spans="1:8" ht="15.75" x14ac:dyDescent="0.25">
      <c r="A65" s="383" t="s">
        <v>802</v>
      </c>
      <c r="B65" s="384">
        <f t="shared" ref="B65:H65" si="6">SUM(B9:B63)-B22-B36-B50</f>
        <v>139328.74</v>
      </c>
      <c r="C65" s="384">
        <f t="shared" si="6"/>
        <v>199253.05999999985</v>
      </c>
      <c r="D65" s="384">
        <f t="shared" si="6"/>
        <v>184010.66000000003</v>
      </c>
      <c r="E65" s="384">
        <f t="shared" si="6"/>
        <v>185097.12000000014</v>
      </c>
      <c r="F65" s="384">
        <f t="shared" si="6"/>
        <v>194384.88000000003</v>
      </c>
      <c r="G65" s="384">
        <f t="shared" si="6"/>
        <v>157031.36999999994</v>
      </c>
      <c r="H65" s="384">
        <f t="shared" si="6"/>
        <v>-37353.509999999995</v>
      </c>
    </row>
    <row r="66" spans="1:8" x14ac:dyDescent="0.2">
      <c r="A66" s="3" t="s">
        <v>803</v>
      </c>
      <c r="B66" s="385">
        <f t="shared" ref="B66:G66" si="7">AVERAGE(B9:B21)</f>
        <v>2043.7076923076925</v>
      </c>
      <c r="C66" s="386">
        <f t="shared" si="7"/>
        <v>3924.3692307692318</v>
      </c>
      <c r="D66" s="386">
        <f t="shared" si="7"/>
        <v>3374.6030769230765</v>
      </c>
      <c r="E66" s="386">
        <f t="shared" si="7"/>
        <v>3340.4923076923073</v>
      </c>
      <c r="F66" s="386">
        <f t="shared" si="7"/>
        <v>3902.6661538461535</v>
      </c>
      <c r="G66" s="385">
        <f t="shared" si="7"/>
        <v>2699.5315384615378</v>
      </c>
      <c r="H66" s="387">
        <f>G66-F66</f>
        <v>-1203.1346153846157</v>
      </c>
    </row>
    <row r="67" spans="1:8" x14ac:dyDescent="0.2">
      <c r="A67" s="3" t="s">
        <v>804</v>
      </c>
      <c r="B67" s="388">
        <f t="shared" ref="B67:G67" si="8">AVERAGE(B23:B35)</f>
        <v>3333.5307692307692</v>
      </c>
      <c r="C67" s="389">
        <f t="shared" si="8"/>
        <v>4248.3623076923086</v>
      </c>
      <c r="D67" s="389">
        <f t="shared" si="8"/>
        <v>3601.1915384615381</v>
      </c>
      <c r="E67" s="389">
        <f t="shared" si="8"/>
        <v>3980.5784615384619</v>
      </c>
      <c r="F67" s="389">
        <f t="shared" si="8"/>
        <v>3883.5507692307683</v>
      </c>
      <c r="G67" s="388">
        <f t="shared" si="8"/>
        <v>3755.3823076923081</v>
      </c>
      <c r="H67" s="390">
        <f>G67-F67</f>
        <v>-128.16846153846018</v>
      </c>
    </row>
    <row r="68" spans="1:8" x14ac:dyDescent="0.2">
      <c r="A68" s="3" t="s">
        <v>805</v>
      </c>
      <c r="B68" s="388">
        <f t="shared" ref="B68:F68" si="9">AVERAGE(B37:B49)</f>
        <v>2468.6846153846154</v>
      </c>
      <c r="C68" s="389">
        <f t="shared" si="9"/>
        <v>3709.4207692307691</v>
      </c>
      <c r="D68" s="389">
        <f t="shared" si="9"/>
        <v>3643.1838461538459</v>
      </c>
      <c r="E68" s="389">
        <f t="shared" si="9"/>
        <v>3541.5123076923078</v>
      </c>
      <c r="F68" s="389">
        <f t="shared" si="9"/>
        <v>3750.3576923076917</v>
      </c>
      <c r="G68" s="389">
        <f>AVERAGE(G37:G49)</f>
        <v>3070.9776923076925</v>
      </c>
      <c r="H68" s="390">
        <f>G68-F68</f>
        <v>-679.3799999999992</v>
      </c>
    </row>
    <row r="69" spans="1:8" x14ac:dyDescent="0.2">
      <c r="A69" s="3" t="s">
        <v>806</v>
      </c>
      <c r="B69" s="391">
        <f t="shared" ref="B69:G69" si="10">AVERAGE(B51:B63)</f>
        <v>2871.6723076923076</v>
      </c>
      <c r="C69" s="392">
        <f t="shared" si="10"/>
        <v>3445.0061538461541</v>
      </c>
      <c r="D69" s="392">
        <f t="shared" si="10"/>
        <v>3535.6876923076916</v>
      </c>
      <c r="E69" s="393">
        <f t="shared" si="10"/>
        <v>3375.6569230769232</v>
      </c>
      <c r="F69" s="393">
        <f t="shared" si="10"/>
        <v>3416.1084615384611</v>
      </c>
      <c r="G69" s="393">
        <f t="shared" si="10"/>
        <v>2553.4446153846152</v>
      </c>
      <c r="H69" s="394">
        <f>G69-F69</f>
        <v>-862.66384615384595</v>
      </c>
    </row>
  </sheetData>
  <mergeCells count="1">
    <mergeCell ref="A5:H5"/>
  </mergeCells>
  <pageMargins left="1.2" right="0.2" top="0.25" bottom="0.5" header="0.3" footer="0.3"/>
  <pageSetup scale="10"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4"/>
  <sheetViews>
    <sheetView workbookViewId="0">
      <selection activeCell="J10" sqref="J10:J14"/>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4.625" style="33" customWidth="1"/>
    <col min="7" max="7" width="23" style="147" customWidth="1"/>
    <col min="191" max="191" width="2.875" customWidth="1"/>
    <col min="192" max="192" width="8.125" customWidth="1"/>
    <col min="193" max="193" width="8.75" customWidth="1"/>
    <col min="194" max="194" width="11" customWidth="1"/>
    <col min="195" max="195" width="2.875" customWidth="1"/>
    <col min="196" max="196" width="77.625" customWidth="1"/>
    <col min="197" max="197" width="20.875" customWidth="1"/>
    <col min="447" max="447" width="2.875" customWidth="1"/>
    <col min="448" max="448" width="8.125" customWidth="1"/>
    <col min="449" max="449" width="8.75" customWidth="1"/>
    <col min="450" max="450" width="11" customWidth="1"/>
    <col min="451" max="451" width="2.875" customWidth="1"/>
    <col min="452" max="452" width="77.625" customWidth="1"/>
    <col min="453" max="453" width="20.875" customWidth="1"/>
    <col min="703" max="703" width="2.875" customWidth="1"/>
    <col min="704" max="704" width="8.125" customWidth="1"/>
    <col min="705" max="705" width="8.75" customWidth="1"/>
    <col min="706" max="706" width="11" customWidth="1"/>
    <col min="707" max="707" width="2.875" customWidth="1"/>
    <col min="708" max="708" width="77.625" customWidth="1"/>
    <col min="709" max="709" width="20.875" customWidth="1"/>
    <col min="959" max="959" width="2.875" customWidth="1"/>
    <col min="960" max="960" width="8.125" customWidth="1"/>
    <col min="961" max="961" width="8.75" customWidth="1"/>
    <col min="962" max="962" width="11" customWidth="1"/>
    <col min="963" max="963" width="2.875" customWidth="1"/>
    <col min="964" max="964" width="77.625" customWidth="1"/>
    <col min="965" max="965" width="20.875" customWidth="1"/>
    <col min="1215" max="1215" width="2.875" customWidth="1"/>
    <col min="1216" max="1216" width="8.125" customWidth="1"/>
    <col min="1217" max="1217" width="8.75" customWidth="1"/>
    <col min="1218" max="1218" width="11" customWidth="1"/>
    <col min="1219" max="1219" width="2.875" customWidth="1"/>
    <col min="1220" max="1220" width="77.625" customWidth="1"/>
    <col min="1221" max="1221" width="20.875" customWidth="1"/>
    <col min="1471" max="1471" width="2.875" customWidth="1"/>
    <col min="1472" max="1472" width="8.125" customWidth="1"/>
    <col min="1473" max="1473" width="8.75" customWidth="1"/>
    <col min="1474" max="1474" width="11" customWidth="1"/>
    <col min="1475" max="1475" width="2.875" customWidth="1"/>
    <col min="1476" max="1476" width="77.625" customWidth="1"/>
    <col min="1477" max="1477" width="20.875" customWidth="1"/>
    <col min="1727" max="1727" width="2.875" customWidth="1"/>
    <col min="1728" max="1728" width="8.125" customWidth="1"/>
    <col min="1729" max="1729" width="8.75" customWidth="1"/>
    <col min="1730" max="1730" width="11" customWidth="1"/>
    <col min="1731" max="1731" width="2.875" customWidth="1"/>
    <col min="1732" max="1732" width="77.625" customWidth="1"/>
    <col min="1733" max="1733" width="20.875" customWidth="1"/>
    <col min="1983" max="1983" width="2.875" customWidth="1"/>
    <col min="1984" max="1984" width="8.125" customWidth="1"/>
    <col min="1985" max="1985" width="8.75" customWidth="1"/>
    <col min="1986" max="1986" width="11" customWidth="1"/>
    <col min="1987" max="1987" width="2.875" customWidth="1"/>
    <col min="1988" max="1988" width="77.625" customWidth="1"/>
    <col min="1989" max="1989" width="20.875" customWidth="1"/>
    <col min="2239" max="2239" width="2.875" customWidth="1"/>
    <col min="2240" max="2240" width="8.125" customWidth="1"/>
    <col min="2241" max="2241" width="8.75" customWidth="1"/>
    <col min="2242" max="2242" width="11" customWidth="1"/>
    <col min="2243" max="2243" width="2.875" customWidth="1"/>
    <col min="2244" max="2244" width="77.625" customWidth="1"/>
    <col min="2245" max="2245" width="20.875" customWidth="1"/>
    <col min="2495" max="2495" width="2.875" customWidth="1"/>
    <col min="2496" max="2496" width="8.125" customWidth="1"/>
    <col min="2497" max="2497" width="8.75" customWidth="1"/>
    <col min="2498" max="2498" width="11" customWidth="1"/>
    <col min="2499" max="2499" width="2.875" customWidth="1"/>
    <col min="2500" max="2500" width="77.625" customWidth="1"/>
    <col min="2501" max="2501" width="20.875" customWidth="1"/>
    <col min="2751" max="2751" width="2.875" customWidth="1"/>
    <col min="2752" max="2752" width="8.125" customWidth="1"/>
    <col min="2753" max="2753" width="8.75" customWidth="1"/>
    <col min="2754" max="2754" width="11" customWidth="1"/>
    <col min="2755" max="2755" width="2.875" customWidth="1"/>
    <col min="2756" max="2756" width="77.625" customWidth="1"/>
    <col min="2757" max="2757" width="20.875" customWidth="1"/>
    <col min="3007" max="3007" width="2.875" customWidth="1"/>
    <col min="3008" max="3008" width="8.125" customWidth="1"/>
    <col min="3009" max="3009" width="8.75" customWidth="1"/>
    <col min="3010" max="3010" width="11" customWidth="1"/>
    <col min="3011" max="3011" width="2.875" customWidth="1"/>
    <col min="3012" max="3012" width="77.625" customWidth="1"/>
    <col min="3013" max="3013" width="20.875" customWidth="1"/>
    <col min="3263" max="3263" width="2.875" customWidth="1"/>
    <col min="3264" max="3264" width="8.125" customWidth="1"/>
    <col min="3265" max="3265" width="8.75" customWidth="1"/>
    <col min="3266" max="3266" width="11" customWidth="1"/>
    <col min="3267" max="3267" width="2.875" customWidth="1"/>
    <col min="3268" max="3268" width="77.625" customWidth="1"/>
    <col min="3269" max="3269" width="20.875" customWidth="1"/>
    <col min="3519" max="3519" width="2.875" customWidth="1"/>
    <col min="3520" max="3520" width="8.125" customWidth="1"/>
    <col min="3521" max="3521" width="8.75" customWidth="1"/>
    <col min="3522" max="3522" width="11" customWidth="1"/>
    <col min="3523" max="3523" width="2.875" customWidth="1"/>
    <col min="3524" max="3524" width="77.625" customWidth="1"/>
    <col min="3525" max="3525" width="20.875" customWidth="1"/>
    <col min="3775" max="3775" width="2.875" customWidth="1"/>
    <col min="3776" max="3776" width="8.125" customWidth="1"/>
    <col min="3777" max="3777" width="8.75" customWidth="1"/>
    <col min="3778" max="3778" width="11" customWidth="1"/>
    <col min="3779" max="3779" width="2.875" customWidth="1"/>
    <col min="3780" max="3780" width="77.625" customWidth="1"/>
    <col min="3781" max="3781" width="20.875" customWidth="1"/>
    <col min="4031" max="4031" width="2.875" customWidth="1"/>
    <col min="4032" max="4032" width="8.125" customWidth="1"/>
    <col min="4033" max="4033" width="8.75" customWidth="1"/>
    <col min="4034" max="4034" width="11" customWidth="1"/>
    <col min="4035" max="4035" width="2.875" customWidth="1"/>
    <col min="4036" max="4036" width="77.625" customWidth="1"/>
    <col min="4037" max="4037" width="20.875" customWidth="1"/>
    <col min="4287" max="4287" width="2.875" customWidth="1"/>
    <col min="4288" max="4288" width="8.125" customWidth="1"/>
    <col min="4289" max="4289" width="8.75" customWidth="1"/>
    <col min="4290" max="4290" width="11" customWidth="1"/>
    <col min="4291" max="4291" width="2.875" customWidth="1"/>
    <col min="4292" max="4292" width="77.625" customWidth="1"/>
    <col min="4293" max="4293" width="20.875" customWidth="1"/>
    <col min="4543" max="4543" width="2.875" customWidth="1"/>
    <col min="4544" max="4544" width="8.125" customWidth="1"/>
    <col min="4545" max="4545" width="8.75" customWidth="1"/>
    <col min="4546" max="4546" width="11" customWidth="1"/>
    <col min="4547" max="4547" width="2.875" customWidth="1"/>
    <col min="4548" max="4548" width="77.625" customWidth="1"/>
    <col min="4549" max="4549" width="20.875" customWidth="1"/>
    <col min="4799" max="4799" width="2.875" customWidth="1"/>
    <col min="4800" max="4800" width="8.125" customWidth="1"/>
    <col min="4801" max="4801" width="8.75" customWidth="1"/>
    <col min="4802" max="4802" width="11" customWidth="1"/>
    <col min="4803" max="4803" width="2.875" customWidth="1"/>
    <col min="4804" max="4804" width="77.625" customWidth="1"/>
    <col min="4805" max="4805" width="20.875" customWidth="1"/>
    <col min="5055" max="5055" width="2.875" customWidth="1"/>
    <col min="5056" max="5056" width="8.125" customWidth="1"/>
    <col min="5057" max="5057" width="8.75" customWidth="1"/>
    <col min="5058" max="5058" width="11" customWidth="1"/>
    <col min="5059" max="5059" width="2.875" customWidth="1"/>
    <col min="5060" max="5060" width="77.625" customWidth="1"/>
    <col min="5061" max="5061" width="20.875" customWidth="1"/>
    <col min="5311" max="5311" width="2.875" customWidth="1"/>
    <col min="5312" max="5312" width="8.125" customWidth="1"/>
    <col min="5313" max="5313" width="8.75" customWidth="1"/>
    <col min="5314" max="5314" width="11" customWidth="1"/>
    <col min="5315" max="5315" width="2.875" customWidth="1"/>
    <col min="5316" max="5316" width="77.625" customWidth="1"/>
    <col min="5317" max="5317" width="20.875" customWidth="1"/>
    <col min="5567" max="5567" width="2.875" customWidth="1"/>
    <col min="5568" max="5568" width="8.125" customWidth="1"/>
    <col min="5569" max="5569" width="8.75" customWidth="1"/>
    <col min="5570" max="5570" width="11" customWidth="1"/>
    <col min="5571" max="5571" width="2.875" customWidth="1"/>
    <col min="5572" max="5572" width="77.625" customWidth="1"/>
    <col min="5573" max="5573" width="20.875" customWidth="1"/>
    <col min="5823" max="5823" width="2.875" customWidth="1"/>
    <col min="5824" max="5824" width="8.125" customWidth="1"/>
    <col min="5825" max="5825" width="8.75" customWidth="1"/>
    <col min="5826" max="5826" width="11" customWidth="1"/>
    <col min="5827" max="5827" width="2.875" customWidth="1"/>
    <col min="5828" max="5828" width="77.625" customWidth="1"/>
    <col min="5829" max="5829" width="20.875" customWidth="1"/>
    <col min="6079" max="6079" width="2.875" customWidth="1"/>
    <col min="6080" max="6080" width="8.125" customWidth="1"/>
    <col min="6081" max="6081" width="8.75" customWidth="1"/>
    <col min="6082" max="6082" width="11" customWidth="1"/>
    <col min="6083" max="6083" width="2.875" customWidth="1"/>
    <col min="6084" max="6084" width="77.625" customWidth="1"/>
    <col min="6085" max="6085" width="20.875" customWidth="1"/>
    <col min="6335" max="6335" width="2.875" customWidth="1"/>
    <col min="6336" max="6336" width="8.125" customWidth="1"/>
    <col min="6337" max="6337" width="8.75" customWidth="1"/>
    <col min="6338" max="6338" width="11" customWidth="1"/>
    <col min="6339" max="6339" width="2.875" customWidth="1"/>
    <col min="6340" max="6340" width="77.625" customWidth="1"/>
    <col min="6341" max="6341" width="20.875" customWidth="1"/>
    <col min="6591" max="6591" width="2.875" customWidth="1"/>
    <col min="6592" max="6592" width="8.125" customWidth="1"/>
    <col min="6593" max="6593" width="8.75" customWidth="1"/>
    <col min="6594" max="6594" width="11" customWidth="1"/>
    <col min="6595" max="6595" width="2.875" customWidth="1"/>
    <col min="6596" max="6596" width="77.625" customWidth="1"/>
    <col min="6597" max="6597" width="20.875" customWidth="1"/>
    <col min="6847" max="6847" width="2.875" customWidth="1"/>
    <col min="6848" max="6848" width="8.125" customWidth="1"/>
    <col min="6849" max="6849" width="8.75" customWidth="1"/>
    <col min="6850" max="6850" width="11" customWidth="1"/>
    <col min="6851" max="6851" width="2.875" customWidth="1"/>
    <col min="6852" max="6852" width="77.625" customWidth="1"/>
    <col min="6853" max="6853" width="20.875" customWidth="1"/>
    <col min="7103" max="7103" width="2.875" customWidth="1"/>
    <col min="7104" max="7104" width="8.125" customWidth="1"/>
    <col min="7105" max="7105" width="8.75" customWidth="1"/>
    <col min="7106" max="7106" width="11" customWidth="1"/>
    <col min="7107" max="7107" width="2.875" customWidth="1"/>
    <col min="7108" max="7108" width="77.625" customWidth="1"/>
    <col min="7109" max="7109" width="20.875" customWidth="1"/>
    <col min="7359" max="7359" width="2.875" customWidth="1"/>
    <col min="7360" max="7360" width="8.125" customWidth="1"/>
    <col min="7361" max="7361" width="8.75" customWidth="1"/>
    <col min="7362" max="7362" width="11" customWidth="1"/>
    <col min="7363" max="7363" width="2.875" customWidth="1"/>
    <col min="7364" max="7364" width="77.625" customWidth="1"/>
    <col min="7365" max="7365" width="20.875" customWidth="1"/>
    <col min="7615" max="7615" width="2.875" customWidth="1"/>
    <col min="7616" max="7616" width="8.125" customWidth="1"/>
    <col min="7617" max="7617" width="8.75" customWidth="1"/>
    <col min="7618" max="7618" width="11" customWidth="1"/>
    <col min="7619" max="7619" width="2.875" customWidth="1"/>
    <col min="7620" max="7620" width="77.625" customWidth="1"/>
    <col min="7621" max="7621" width="20.875" customWidth="1"/>
    <col min="7871" max="7871" width="2.875" customWidth="1"/>
    <col min="7872" max="7872" width="8.125" customWidth="1"/>
    <col min="7873" max="7873" width="8.75" customWidth="1"/>
    <col min="7874" max="7874" width="11" customWidth="1"/>
    <col min="7875" max="7875" width="2.875" customWidth="1"/>
    <col min="7876" max="7876" width="77.625" customWidth="1"/>
    <col min="7877" max="7877" width="20.875" customWidth="1"/>
    <col min="8127" max="8127" width="2.875" customWidth="1"/>
    <col min="8128" max="8128" width="8.125" customWidth="1"/>
    <col min="8129" max="8129" width="8.75" customWidth="1"/>
    <col min="8130" max="8130" width="11" customWidth="1"/>
    <col min="8131" max="8131" width="2.875" customWidth="1"/>
    <col min="8132" max="8132" width="77.625" customWidth="1"/>
    <col min="8133" max="8133" width="20.875" customWidth="1"/>
    <col min="8383" max="8383" width="2.875" customWidth="1"/>
    <col min="8384" max="8384" width="8.125" customWidth="1"/>
    <col min="8385" max="8385" width="8.75" customWidth="1"/>
    <col min="8386" max="8386" width="11" customWidth="1"/>
    <col min="8387" max="8387" width="2.875" customWidth="1"/>
    <col min="8388" max="8388" width="77.625" customWidth="1"/>
    <col min="8389" max="8389" width="20.875" customWidth="1"/>
    <col min="8639" max="8639" width="2.875" customWidth="1"/>
    <col min="8640" max="8640" width="8.125" customWidth="1"/>
    <col min="8641" max="8641" width="8.75" customWidth="1"/>
    <col min="8642" max="8642" width="11" customWidth="1"/>
    <col min="8643" max="8643" width="2.875" customWidth="1"/>
    <col min="8644" max="8644" width="77.625" customWidth="1"/>
    <col min="8645" max="8645" width="20.875" customWidth="1"/>
    <col min="8895" max="8895" width="2.875" customWidth="1"/>
    <col min="8896" max="8896" width="8.125" customWidth="1"/>
    <col min="8897" max="8897" width="8.75" customWidth="1"/>
    <col min="8898" max="8898" width="11" customWidth="1"/>
    <col min="8899" max="8899" width="2.875" customWidth="1"/>
    <col min="8900" max="8900" width="77.625" customWidth="1"/>
    <col min="8901" max="8901" width="20.875" customWidth="1"/>
    <col min="9151" max="9151" width="2.875" customWidth="1"/>
    <col min="9152" max="9152" width="8.125" customWidth="1"/>
    <col min="9153" max="9153" width="8.75" customWidth="1"/>
    <col min="9154" max="9154" width="11" customWidth="1"/>
    <col min="9155" max="9155" width="2.875" customWidth="1"/>
    <col min="9156" max="9156" width="77.625" customWidth="1"/>
    <col min="9157" max="9157" width="20.875" customWidth="1"/>
    <col min="9407" max="9407" width="2.875" customWidth="1"/>
    <col min="9408" max="9408" width="8.125" customWidth="1"/>
    <col min="9409" max="9409" width="8.75" customWidth="1"/>
    <col min="9410" max="9410" width="11" customWidth="1"/>
    <col min="9411" max="9411" width="2.875" customWidth="1"/>
    <col min="9412" max="9412" width="77.625" customWidth="1"/>
    <col min="9413" max="9413" width="20.875" customWidth="1"/>
    <col min="9663" max="9663" width="2.875" customWidth="1"/>
    <col min="9664" max="9664" width="8.125" customWidth="1"/>
    <col min="9665" max="9665" width="8.75" customWidth="1"/>
    <col min="9666" max="9666" width="11" customWidth="1"/>
    <col min="9667" max="9667" width="2.875" customWidth="1"/>
    <col min="9668" max="9668" width="77.625" customWidth="1"/>
    <col min="9669" max="9669" width="20.875" customWidth="1"/>
    <col min="9919" max="9919" width="2.875" customWidth="1"/>
    <col min="9920" max="9920" width="8.125" customWidth="1"/>
    <col min="9921" max="9921" width="8.75" customWidth="1"/>
    <col min="9922" max="9922" width="11" customWidth="1"/>
    <col min="9923" max="9923" width="2.875" customWidth="1"/>
    <col min="9924" max="9924" width="77.625" customWidth="1"/>
    <col min="9925" max="9925" width="20.875" customWidth="1"/>
    <col min="10175" max="10175" width="2.875" customWidth="1"/>
    <col min="10176" max="10176" width="8.125" customWidth="1"/>
    <col min="10177" max="10177" width="8.75" customWidth="1"/>
    <col min="10178" max="10178" width="11" customWidth="1"/>
    <col min="10179" max="10179" width="2.875" customWidth="1"/>
    <col min="10180" max="10180" width="77.625" customWidth="1"/>
    <col min="10181" max="10181" width="20.875" customWidth="1"/>
    <col min="10431" max="10431" width="2.875" customWidth="1"/>
    <col min="10432" max="10432" width="8.125" customWidth="1"/>
    <col min="10433" max="10433" width="8.75" customWidth="1"/>
    <col min="10434" max="10434" width="11" customWidth="1"/>
    <col min="10435" max="10435" width="2.875" customWidth="1"/>
    <col min="10436" max="10436" width="77.625" customWidth="1"/>
    <col min="10437" max="10437" width="20.875" customWidth="1"/>
    <col min="10687" max="10687" width="2.875" customWidth="1"/>
    <col min="10688" max="10688" width="8.125" customWidth="1"/>
    <col min="10689" max="10689" width="8.75" customWidth="1"/>
    <col min="10690" max="10690" width="11" customWidth="1"/>
    <col min="10691" max="10691" width="2.875" customWidth="1"/>
    <col min="10692" max="10692" width="77.625" customWidth="1"/>
    <col min="10693" max="10693" width="20.875" customWidth="1"/>
    <col min="10943" max="10943" width="2.875" customWidth="1"/>
    <col min="10944" max="10944" width="8.125" customWidth="1"/>
    <col min="10945" max="10945" width="8.75" customWidth="1"/>
    <col min="10946" max="10946" width="11" customWidth="1"/>
    <col min="10947" max="10947" width="2.875" customWidth="1"/>
    <col min="10948" max="10948" width="77.625" customWidth="1"/>
    <col min="10949" max="10949" width="20.875" customWidth="1"/>
    <col min="11199" max="11199" width="2.875" customWidth="1"/>
    <col min="11200" max="11200" width="8.125" customWidth="1"/>
    <col min="11201" max="11201" width="8.75" customWidth="1"/>
    <col min="11202" max="11202" width="11" customWidth="1"/>
    <col min="11203" max="11203" width="2.875" customWidth="1"/>
    <col min="11204" max="11204" width="77.625" customWidth="1"/>
    <col min="11205" max="11205" width="20.875" customWidth="1"/>
    <col min="11455" max="11455" width="2.875" customWidth="1"/>
    <col min="11456" max="11456" width="8.125" customWidth="1"/>
    <col min="11457" max="11457" width="8.75" customWidth="1"/>
    <col min="11458" max="11458" width="11" customWidth="1"/>
    <col min="11459" max="11459" width="2.875" customWidth="1"/>
    <col min="11460" max="11460" width="77.625" customWidth="1"/>
    <col min="11461" max="11461" width="20.875" customWidth="1"/>
    <col min="11711" max="11711" width="2.875" customWidth="1"/>
    <col min="11712" max="11712" width="8.125" customWidth="1"/>
    <col min="11713" max="11713" width="8.75" customWidth="1"/>
    <col min="11714" max="11714" width="11" customWidth="1"/>
    <col min="11715" max="11715" width="2.875" customWidth="1"/>
    <col min="11716" max="11716" width="77.625" customWidth="1"/>
    <col min="11717" max="11717" width="20.875" customWidth="1"/>
    <col min="11967" max="11967" width="2.875" customWidth="1"/>
    <col min="11968" max="11968" width="8.125" customWidth="1"/>
    <col min="11969" max="11969" width="8.75" customWidth="1"/>
    <col min="11970" max="11970" width="11" customWidth="1"/>
    <col min="11971" max="11971" width="2.875" customWidth="1"/>
    <col min="11972" max="11972" width="77.625" customWidth="1"/>
    <col min="11973" max="11973" width="20.875" customWidth="1"/>
    <col min="12223" max="12223" width="2.875" customWidth="1"/>
    <col min="12224" max="12224" width="8.125" customWidth="1"/>
    <col min="12225" max="12225" width="8.75" customWidth="1"/>
    <col min="12226" max="12226" width="11" customWidth="1"/>
    <col min="12227" max="12227" width="2.875" customWidth="1"/>
    <col min="12228" max="12228" width="77.625" customWidth="1"/>
    <col min="12229" max="12229" width="20.875" customWidth="1"/>
    <col min="12479" max="12479" width="2.875" customWidth="1"/>
    <col min="12480" max="12480" width="8.125" customWidth="1"/>
    <col min="12481" max="12481" width="8.75" customWidth="1"/>
    <col min="12482" max="12482" width="11" customWidth="1"/>
    <col min="12483" max="12483" width="2.875" customWidth="1"/>
    <col min="12484" max="12484" width="77.625" customWidth="1"/>
    <col min="12485" max="12485" width="20.875" customWidth="1"/>
    <col min="12735" max="12735" width="2.875" customWidth="1"/>
    <col min="12736" max="12736" width="8.125" customWidth="1"/>
    <col min="12737" max="12737" width="8.75" customWidth="1"/>
    <col min="12738" max="12738" width="11" customWidth="1"/>
    <col min="12739" max="12739" width="2.875" customWidth="1"/>
    <col min="12740" max="12740" width="77.625" customWidth="1"/>
    <col min="12741" max="12741" width="20.875" customWidth="1"/>
    <col min="12991" max="12991" width="2.875" customWidth="1"/>
    <col min="12992" max="12992" width="8.125" customWidth="1"/>
    <col min="12993" max="12993" width="8.75" customWidth="1"/>
    <col min="12994" max="12994" width="11" customWidth="1"/>
    <col min="12995" max="12995" width="2.875" customWidth="1"/>
    <col min="12996" max="12996" width="77.625" customWidth="1"/>
    <col min="12997" max="12997" width="20.875" customWidth="1"/>
    <col min="13247" max="13247" width="2.875" customWidth="1"/>
    <col min="13248" max="13248" width="8.125" customWidth="1"/>
    <col min="13249" max="13249" width="8.75" customWidth="1"/>
    <col min="13250" max="13250" width="11" customWidth="1"/>
    <col min="13251" max="13251" width="2.875" customWidth="1"/>
    <col min="13252" max="13252" width="77.625" customWidth="1"/>
    <col min="13253" max="13253" width="20.875" customWidth="1"/>
    <col min="13503" max="13503" width="2.875" customWidth="1"/>
    <col min="13504" max="13504" width="8.125" customWidth="1"/>
    <col min="13505" max="13505" width="8.75" customWidth="1"/>
    <col min="13506" max="13506" width="11" customWidth="1"/>
    <col min="13507" max="13507" width="2.875" customWidth="1"/>
    <col min="13508" max="13508" width="77.625" customWidth="1"/>
    <col min="13509" max="13509" width="20.875" customWidth="1"/>
    <col min="13759" max="13759" width="2.875" customWidth="1"/>
    <col min="13760" max="13760" width="8.125" customWidth="1"/>
    <col min="13761" max="13761" width="8.75" customWidth="1"/>
    <col min="13762" max="13762" width="11" customWidth="1"/>
    <col min="13763" max="13763" width="2.875" customWidth="1"/>
    <col min="13764" max="13764" width="77.625" customWidth="1"/>
    <col min="13765" max="13765" width="20.875" customWidth="1"/>
    <col min="14015" max="14015" width="2.875" customWidth="1"/>
    <col min="14016" max="14016" width="8.125" customWidth="1"/>
    <col min="14017" max="14017" width="8.75" customWidth="1"/>
    <col min="14018" max="14018" width="11" customWidth="1"/>
    <col min="14019" max="14019" width="2.875" customWidth="1"/>
    <col min="14020" max="14020" width="77.625" customWidth="1"/>
    <col min="14021" max="14021" width="20.875" customWidth="1"/>
    <col min="14271" max="14271" width="2.875" customWidth="1"/>
    <col min="14272" max="14272" width="8.125" customWidth="1"/>
    <col min="14273" max="14273" width="8.75" customWidth="1"/>
    <col min="14274" max="14274" width="11" customWidth="1"/>
    <col min="14275" max="14275" width="2.875" customWidth="1"/>
    <col min="14276" max="14276" width="77.625" customWidth="1"/>
    <col min="14277" max="14277" width="20.875" customWidth="1"/>
    <col min="14527" max="14527" width="2.875" customWidth="1"/>
    <col min="14528" max="14528" width="8.125" customWidth="1"/>
    <col min="14529" max="14529" width="8.75" customWidth="1"/>
    <col min="14530" max="14530" width="11" customWidth="1"/>
    <col min="14531" max="14531" width="2.875" customWidth="1"/>
    <col min="14532" max="14532" width="77.625" customWidth="1"/>
    <col min="14533" max="14533" width="20.875" customWidth="1"/>
    <col min="14783" max="14783" width="2.875" customWidth="1"/>
    <col min="14784" max="14784" width="8.125" customWidth="1"/>
    <col min="14785" max="14785" width="8.75" customWidth="1"/>
    <col min="14786" max="14786" width="11" customWidth="1"/>
    <col min="14787" max="14787" width="2.875" customWidth="1"/>
    <col min="14788" max="14788" width="77.625" customWidth="1"/>
    <col min="14789" max="14789" width="20.875" customWidth="1"/>
    <col min="15039" max="15039" width="2.875" customWidth="1"/>
    <col min="15040" max="15040" width="8.125" customWidth="1"/>
    <col min="15041" max="15041" width="8.75" customWidth="1"/>
    <col min="15042" max="15042" width="11" customWidth="1"/>
    <col min="15043" max="15043" width="2.875" customWidth="1"/>
    <col min="15044" max="15044" width="77.625" customWidth="1"/>
    <col min="15045" max="15045" width="20.875" customWidth="1"/>
    <col min="15295" max="15295" width="2.875" customWidth="1"/>
    <col min="15296" max="15296" width="8.125" customWidth="1"/>
    <col min="15297" max="15297" width="8.75" customWidth="1"/>
    <col min="15298" max="15298" width="11" customWidth="1"/>
    <col min="15299" max="15299" width="2.875" customWidth="1"/>
    <col min="15300" max="15300" width="77.625" customWidth="1"/>
    <col min="15301" max="15301" width="20.875" customWidth="1"/>
    <col min="15551" max="15551" width="2.875" customWidth="1"/>
    <col min="15552" max="15552" width="8.125" customWidth="1"/>
    <col min="15553" max="15553" width="8.75" customWidth="1"/>
    <col min="15554" max="15554" width="11" customWidth="1"/>
    <col min="15555" max="15555" width="2.875" customWidth="1"/>
    <col min="15556" max="15556" width="77.625" customWidth="1"/>
    <col min="15557" max="15557" width="20.875" customWidth="1"/>
    <col min="15807" max="15807" width="2.875" customWidth="1"/>
    <col min="15808" max="15808" width="8.125" customWidth="1"/>
    <col min="15809" max="15809" width="8.75" customWidth="1"/>
    <col min="15810" max="15810" width="11" customWidth="1"/>
    <col min="15811" max="15811" width="2.875" customWidth="1"/>
    <col min="15812" max="15812" width="77.625" customWidth="1"/>
    <col min="15813" max="15813" width="20.875" customWidth="1"/>
    <col min="16063" max="16063" width="2.875" customWidth="1"/>
    <col min="16064" max="16064" width="8.125" customWidth="1"/>
    <col min="16065" max="16065" width="8.75" customWidth="1"/>
    <col min="16066" max="16066" width="11" customWidth="1"/>
    <col min="16067" max="16067" width="2.875" customWidth="1"/>
    <col min="16068" max="16068" width="77.625" customWidth="1"/>
    <col min="16069" max="16069" width="20.875" customWidth="1"/>
  </cols>
  <sheetData>
    <row r="1" spans="1:7" ht="22.5" customHeight="1" x14ac:dyDescent="0.4">
      <c r="A1" s="34" t="s">
        <v>0</v>
      </c>
      <c r="B1" s="35"/>
      <c r="C1" s="36"/>
      <c r="D1" s="36"/>
      <c r="E1" s="36"/>
      <c r="F1" s="35"/>
      <c r="G1" s="148"/>
    </row>
    <row r="2" spans="1:7" ht="22.5" customHeight="1" x14ac:dyDescent="0.4">
      <c r="A2" s="34" t="s">
        <v>781</v>
      </c>
      <c r="B2" s="35"/>
      <c r="C2" s="36"/>
      <c r="D2" s="36"/>
      <c r="E2" s="36"/>
      <c r="F2" s="35"/>
      <c r="G2" s="148"/>
    </row>
    <row r="3" spans="1:7" ht="22.5" hidden="1" customHeight="1" x14ac:dyDescent="0.4">
      <c r="A3" s="34" t="s">
        <v>807</v>
      </c>
      <c r="B3" s="35"/>
      <c r="C3" s="36"/>
      <c r="D3" s="36"/>
      <c r="E3" s="36"/>
      <c r="F3" s="35"/>
      <c r="G3" s="148"/>
    </row>
    <row r="4" spans="1:7" ht="22.5" customHeight="1" x14ac:dyDescent="0.4">
      <c r="A4" s="34" t="s">
        <v>808</v>
      </c>
      <c r="B4" s="35"/>
      <c r="C4" s="36"/>
      <c r="D4" s="36"/>
      <c r="E4" s="36"/>
      <c r="F4" s="35"/>
      <c r="G4" s="148"/>
    </row>
    <row r="5" spans="1:7" s="38" customFormat="1" ht="5.25" customHeight="1" thickBot="1" x14ac:dyDescent="0.25">
      <c r="A5" s="37"/>
      <c r="B5" s="37"/>
      <c r="C5" s="37"/>
      <c r="D5" s="37"/>
      <c r="E5" s="37"/>
      <c r="F5" s="37"/>
      <c r="G5" s="149"/>
    </row>
    <row r="6" spans="1:7" s="41" customFormat="1" ht="24.75" customHeight="1" thickTop="1" thickBot="1" x14ac:dyDescent="0.25">
      <c r="A6" s="39"/>
      <c r="B6" s="39"/>
      <c r="C6" s="39"/>
      <c r="D6" s="39"/>
      <c r="E6" s="39"/>
      <c r="F6" s="39"/>
      <c r="G6" s="267" t="s">
        <v>4</v>
      </c>
    </row>
    <row r="7" spans="1:7" s="43" customFormat="1" ht="8.25" customHeight="1" thickTop="1" x14ac:dyDescent="0.2">
      <c r="A7" s="42"/>
      <c r="B7" s="42"/>
      <c r="C7" s="42"/>
      <c r="D7" s="42"/>
      <c r="E7" s="42"/>
      <c r="F7" s="42"/>
      <c r="G7" s="150"/>
    </row>
    <row r="8" spans="1:7" ht="21" thickBot="1" x14ac:dyDescent="0.35">
      <c r="A8" s="44"/>
      <c r="B8" s="97" t="s">
        <v>7</v>
      </c>
      <c r="C8" s="97"/>
      <c r="D8" s="97"/>
      <c r="E8" s="97"/>
      <c r="F8" s="97"/>
      <c r="G8" s="186"/>
    </row>
    <row r="9" spans="1:7" s="43" customFormat="1" ht="20.25" x14ac:dyDescent="0.2">
      <c r="A9" s="42"/>
      <c r="B9" s="42"/>
      <c r="C9" s="46" t="s">
        <v>13</v>
      </c>
      <c r="D9" s="46"/>
      <c r="E9" s="46"/>
      <c r="F9" s="42"/>
      <c r="G9" s="159">
        <v>1015000</v>
      </c>
    </row>
    <row r="10" spans="1:7" s="43" customFormat="1" ht="20.25" x14ac:dyDescent="0.2">
      <c r="A10" s="42"/>
      <c r="B10" s="42"/>
      <c r="C10" s="46" t="s">
        <v>809</v>
      </c>
      <c r="D10" s="46"/>
      <c r="E10" s="46"/>
      <c r="F10" s="42"/>
      <c r="G10" s="150">
        <v>13000</v>
      </c>
    </row>
    <row r="11" spans="1:7" s="43" customFormat="1" ht="20.25" x14ac:dyDescent="0.2">
      <c r="A11" s="42"/>
      <c r="B11" s="42"/>
      <c r="C11" s="46" t="s">
        <v>14</v>
      </c>
      <c r="D11" s="46"/>
      <c r="E11" s="46"/>
      <c r="F11" s="42"/>
      <c r="G11" s="150">
        <v>195000</v>
      </c>
    </row>
    <row r="12" spans="1:7" s="43" customFormat="1" ht="20.25" x14ac:dyDescent="0.2">
      <c r="A12" s="42"/>
      <c r="B12" s="42"/>
      <c r="C12" s="46" t="s">
        <v>15</v>
      </c>
      <c r="D12" s="46"/>
      <c r="E12" s="46"/>
      <c r="F12" s="42"/>
      <c r="G12" s="150">
        <v>40000</v>
      </c>
    </row>
    <row r="13" spans="1:7" s="43" customFormat="1" ht="20.25" x14ac:dyDescent="0.2">
      <c r="A13" s="42"/>
      <c r="B13" s="42"/>
      <c r="C13" s="46" t="s">
        <v>16</v>
      </c>
      <c r="D13" s="46"/>
      <c r="E13" s="46"/>
      <c r="F13" s="42"/>
      <c r="G13" s="150"/>
    </row>
    <row r="14" spans="1:7" s="43" customFormat="1" ht="20.25" x14ac:dyDescent="0.2">
      <c r="A14" s="42"/>
      <c r="B14" s="42"/>
      <c r="D14" s="46" t="s">
        <v>17</v>
      </c>
      <c r="E14" s="46"/>
      <c r="F14" s="42"/>
      <c r="G14" s="150">
        <f>43900+41500+122000</f>
        <v>207400</v>
      </c>
    </row>
    <row r="15" spans="1:7" s="43" customFormat="1" ht="20.25" x14ac:dyDescent="0.2">
      <c r="A15" s="42"/>
      <c r="B15" s="42"/>
      <c r="D15" s="46" t="s">
        <v>18</v>
      </c>
      <c r="E15" s="46"/>
      <c r="F15" s="42"/>
      <c r="G15" s="150">
        <v>11000</v>
      </c>
    </row>
    <row r="16" spans="1:7" s="43" customFormat="1" ht="20.25" x14ac:dyDescent="0.2">
      <c r="A16" s="42"/>
      <c r="B16" s="42"/>
      <c r="C16" s="46" t="s">
        <v>105</v>
      </c>
      <c r="D16" s="46"/>
      <c r="E16" s="46"/>
      <c r="F16" s="42"/>
      <c r="G16" s="150">
        <v>9500</v>
      </c>
    </row>
    <row r="17" spans="1:7" s="43" customFormat="1" ht="20.25" x14ac:dyDescent="0.2">
      <c r="A17" s="42"/>
      <c r="B17" s="42"/>
      <c r="C17" s="46" t="s">
        <v>21</v>
      </c>
      <c r="D17" s="46"/>
      <c r="E17" s="46"/>
      <c r="F17" s="42"/>
      <c r="G17" s="150">
        <v>1000</v>
      </c>
    </row>
    <row r="18" spans="1:7" s="43" customFormat="1" ht="20.25" x14ac:dyDescent="0.2">
      <c r="A18" s="42"/>
      <c r="B18" s="42"/>
      <c r="C18" s="46" t="s">
        <v>22</v>
      </c>
      <c r="D18" s="46"/>
      <c r="E18" s="46"/>
      <c r="F18" s="42"/>
      <c r="G18" s="150">
        <v>3000</v>
      </c>
    </row>
    <row r="19" spans="1:7" s="43" customFormat="1" ht="20.25" x14ac:dyDescent="0.2">
      <c r="A19" s="42"/>
      <c r="B19" s="42"/>
      <c r="C19" s="46" t="s">
        <v>784</v>
      </c>
      <c r="D19" s="46"/>
      <c r="E19" s="46"/>
      <c r="F19" s="42"/>
      <c r="G19" s="150">
        <f>25000+8000+20000</f>
        <v>53000</v>
      </c>
    </row>
    <row r="20" spans="1:7" s="43" customFormat="1" ht="20.25" x14ac:dyDescent="0.2">
      <c r="A20" s="42"/>
      <c r="B20" s="42"/>
      <c r="C20" s="46" t="s">
        <v>662</v>
      </c>
      <c r="D20" s="46"/>
      <c r="E20" s="46"/>
      <c r="F20" s="42"/>
      <c r="G20" s="150">
        <v>500</v>
      </c>
    </row>
    <row r="21" spans="1:7" s="43" customFormat="1" ht="20.25" hidden="1" x14ac:dyDescent="0.2">
      <c r="A21" s="42"/>
      <c r="B21" s="42"/>
      <c r="C21" s="46" t="s">
        <v>810</v>
      </c>
      <c r="D21" s="46"/>
      <c r="E21" s="46"/>
      <c r="F21" s="42"/>
      <c r="G21" s="150"/>
    </row>
    <row r="22" spans="1:7" s="43" customFormat="1" ht="21" thickBot="1" x14ac:dyDescent="0.25">
      <c r="A22" s="42"/>
      <c r="B22" s="42"/>
      <c r="C22" s="46" t="s">
        <v>29</v>
      </c>
      <c r="D22" s="46"/>
      <c r="E22" s="46"/>
      <c r="F22" s="42"/>
      <c r="G22" s="157">
        <v>46575</v>
      </c>
    </row>
    <row r="23" spans="1:7" s="43" customFormat="1" ht="20.25" x14ac:dyDescent="0.2">
      <c r="A23" s="42"/>
      <c r="B23" s="42"/>
      <c r="C23" s="46"/>
      <c r="D23" s="42" t="s">
        <v>33</v>
      </c>
      <c r="E23" s="46"/>
      <c r="F23" s="42"/>
      <c r="G23" s="150">
        <f>SUM(G9:G22)</f>
        <v>1594975</v>
      </c>
    </row>
    <row r="24" spans="1:7" s="43" customFormat="1" ht="21" thickBot="1" x14ac:dyDescent="0.25">
      <c r="A24" s="42"/>
      <c r="B24" s="42"/>
      <c r="C24" s="42" t="s">
        <v>667</v>
      </c>
      <c r="D24" s="46"/>
      <c r="E24" s="46"/>
      <c r="F24" s="42"/>
      <c r="G24" s="157">
        <f>68000+18000</f>
        <v>86000</v>
      </c>
    </row>
    <row r="25" spans="1:7" s="43" customFormat="1" ht="20.25" x14ac:dyDescent="0.2">
      <c r="A25" s="42"/>
      <c r="B25" s="42"/>
      <c r="C25" s="46"/>
      <c r="D25" s="42" t="s">
        <v>111</v>
      </c>
      <c r="E25" s="46"/>
      <c r="F25" s="42"/>
      <c r="G25" s="150">
        <f>SUM(G23:G24)</f>
        <v>1680975</v>
      </c>
    </row>
    <row r="26" spans="1:7" s="43" customFormat="1" ht="6" customHeight="1" x14ac:dyDescent="0.2">
      <c r="A26" s="42"/>
      <c r="B26" s="42"/>
      <c r="C26" s="46"/>
      <c r="D26" s="42"/>
      <c r="E26" s="46"/>
      <c r="F26" s="42"/>
      <c r="G26" s="150"/>
    </row>
    <row r="27" spans="1:7" s="43" customFormat="1" ht="21" thickBot="1" x14ac:dyDescent="0.25">
      <c r="A27" s="42"/>
      <c r="B27" s="54" t="s">
        <v>34</v>
      </c>
      <c r="C27" s="54"/>
      <c r="D27" s="54"/>
      <c r="E27" s="54"/>
      <c r="F27" s="54"/>
      <c r="G27" s="157"/>
    </row>
    <row r="28" spans="1:7" s="43" customFormat="1" ht="20.25" x14ac:dyDescent="0.2">
      <c r="A28" s="42"/>
      <c r="B28" s="42"/>
      <c r="C28" s="46" t="s">
        <v>35</v>
      </c>
      <c r="D28" s="46"/>
      <c r="E28" s="46"/>
      <c r="F28" s="46"/>
      <c r="G28" s="150">
        <f>ROUND((898643.55+40000)*1.02,-2)</f>
        <v>957400</v>
      </c>
    </row>
    <row r="29" spans="1:7" s="43" customFormat="1" ht="20.25" x14ac:dyDescent="0.2">
      <c r="A29" s="42"/>
      <c r="B29" s="42"/>
      <c r="C29" s="46" t="s">
        <v>36</v>
      </c>
      <c r="D29" s="46"/>
      <c r="E29" s="46"/>
      <c r="F29" s="46"/>
      <c r="G29" s="150">
        <f>ROUNDUP(G28*0.195,-2)</f>
        <v>186700</v>
      </c>
    </row>
    <row r="30" spans="1:7" s="43" customFormat="1" ht="20.25" x14ac:dyDescent="0.2">
      <c r="A30" s="42"/>
      <c r="B30" s="42"/>
      <c r="C30" s="46" t="s">
        <v>37</v>
      </c>
      <c r="D30" s="46"/>
      <c r="E30" s="46"/>
      <c r="F30" s="46"/>
      <c r="G30" s="150">
        <f>48831-G22</f>
        <v>2256</v>
      </c>
    </row>
    <row r="31" spans="1:7" s="43" customFormat="1" ht="20.25" x14ac:dyDescent="0.2">
      <c r="A31" s="42"/>
      <c r="B31" s="42"/>
      <c r="C31" s="46" t="s">
        <v>38</v>
      </c>
      <c r="D31" s="46"/>
      <c r="E31" s="46"/>
      <c r="F31" s="46"/>
      <c r="G31" s="150">
        <f>G22</f>
        <v>46575</v>
      </c>
    </row>
    <row r="32" spans="1:7" s="43" customFormat="1" ht="20.25" x14ac:dyDescent="0.2">
      <c r="A32" s="42"/>
      <c r="B32" s="42"/>
      <c r="C32" s="46" t="s">
        <v>39</v>
      </c>
      <c r="D32" s="46"/>
      <c r="E32" s="46"/>
      <c r="F32" s="46"/>
      <c r="G32" s="150">
        <v>14000</v>
      </c>
    </row>
    <row r="33" spans="1:7" s="43" customFormat="1" ht="20.25" x14ac:dyDescent="0.2">
      <c r="A33" s="42"/>
      <c r="B33" s="42"/>
      <c r="C33" s="46" t="s">
        <v>40</v>
      </c>
      <c r="D33" s="46"/>
      <c r="E33" s="46"/>
      <c r="F33" s="46"/>
      <c r="G33" s="150">
        <v>3500</v>
      </c>
    </row>
    <row r="34" spans="1:7" s="43" customFormat="1" ht="20.25" x14ac:dyDescent="0.2">
      <c r="A34" s="42"/>
      <c r="B34" s="42"/>
      <c r="C34" s="46" t="s">
        <v>41</v>
      </c>
      <c r="D34" s="46"/>
      <c r="E34" s="46"/>
      <c r="F34" s="46"/>
      <c r="G34" s="150">
        <v>7000</v>
      </c>
    </row>
    <row r="35" spans="1:7" s="43" customFormat="1" ht="20.25" x14ac:dyDescent="0.2">
      <c r="A35" s="42"/>
      <c r="B35" s="42"/>
      <c r="C35" s="46" t="s">
        <v>42</v>
      </c>
      <c r="D35" s="46"/>
      <c r="E35" s="46"/>
      <c r="F35" s="46"/>
      <c r="G35" s="150">
        <v>13500</v>
      </c>
    </row>
    <row r="36" spans="1:7" s="43" customFormat="1" ht="20.25" x14ac:dyDescent="0.2">
      <c r="A36" s="42"/>
      <c r="B36" s="42"/>
      <c r="C36" s="46" t="s">
        <v>43</v>
      </c>
      <c r="D36" s="46"/>
      <c r="E36" s="46"/>
      <c r="F36" s="46"/>
      <c r="G36" s="150">
        <v>40000</v>
      </c>
    </row>
    <row r="37" spans="1:7" s="43" customFormat="1" ht="20.25" x14ac:dyDescent="0.2">
      <c r="A37" s="42"/>
      <c r="B37" s="42"/>
      <c r="C37" s="46" t="s">
        <v>44</v>
      </c>
      <c r="D37" s="46"/>
      <c r="E37" s="46"/>
      <c r="F37" s="46"/>
      <c r="G37" s="150">
        <v>6600</v>
      </c>
    </row>
    <row r="38" spans="1:7" s="43" customFormat="1" ht="20.25" x14ac:dyDescent="0.2">
      <c r="A38" s="42"/>
      <c r="B38" s="42"/>
      <c r="C38" s="46" t="s">
        <v>45</v>
      </c>
      <c r="D38" s="46"/>
      <c r="E38" s="46"/>
      <c r="F38" s="46"/>
      <c r="G38" s="150">
        <v>1500</v>
      </c>
    </row>
    <row r="39" spans="1:7" s="43" customFormat="1" ht="20.25" x14ac:dyDescent="0.2">
      <c r="A39" s="42"/>
      <c r="B39" s="42"/>
      <c r="C39" s="46" t="s">
        <v>46</v>
      </c>
      <c r="D39" s="46"/>
      <c r="E39" s="46"/>
      <c r="F39" s="46"/>
      <c r="G39" s="150">
        <v>13700</v>
      </c>
    </row>
    <row r="40" spans="1:7" s="43" customFormat="1" ht="20.25" x14ac:dyDescent="0.2">
      <c r="A40" s="46"/>
      <c r="B40" s="46"/>
      <c r="C40" s="46" t="s">
        <v>48</v>
      </c>
      <c r="D40" s="46"/>
      <c r="E40" s="46"/>
      <c r="F40" s="46"/>
      <c r="G40" s="150">
        <f>ROUNDUP(13248.87*1.05,-2)</f>
        <v>14000</v>
      </c>
    </row>
    <row r="41" spans="1:7" s="43" customFormat="1" ht="20.25" x14ac:dyDescent="0.2">
      <c r="A41" s="46"/>
      <c r="B41" s="46"/>
      <c r="C41" s="46" t="s">
        <v>49</v>
      </c>
      <c r="D41" s="46"/>
      <c r="E41" s="46"/>
      <c r="F41" s="46"/>
      <c r="G41" s="150">
        <f>ROUNDUP(12343.85*1.03,-2)</f>
        <v>12800</v>
      </c>
    </row>
    <row r="42" spans="1:7" s="43" customFormat="1" ht="20.25" x14ac:dyDescent="0.2">
      <c r="A42" s="46"/>
      <c r="B42" s="46"/>
      <c r="C42" s="46" t="s">
        <v>50</v>
      </c>
      <c r="D42" s="46"/>
      <c r="E42" s="46"/>
      <c r="F42" s="46"/>
      <c r="G42" s="150">
        <v>3000</v>
      </c>
    </row>
    <row r="43" spans="1:7" s="43" customFormat="1" ht="20.25" x14ac:dyDescent="0.2">
      <c r="A43" s="46"/>
      <c r="B43" s="46"/>
      <c r="C43" s="46" t="s">
        <v>51</v>
      </c>
      <c r="D43" s="46"/>
      <c r="E43" s="46"/>
      <c r="F43" s="46"/>
      <c r="G43" s="150">
        <f>ROUNDUP((3067.88+8008.83)*1.05,-2)</f>
        <v>11700</v>
      </c>
    </row>
    <row r="44" spans="1:7" s="43" customFormat="1" ht="20.25" x14ac:dyDescent="0.2">
      <c r="A44" s="42"/>
      <c r="B44" s="42"/>
      <c r="C44" s="46" t="s">
        <v>52</v>
      </c>
      <c r="D44" s="46"/>
      <c r="E44" s="46"/>
      <c r="F44" s="46"/>
      <c r="G44" s="150">
        <v>17000</v>
      </c>
    </row>
    <row r="45" spans="1:7" s="43" customFormat="1" ht="20.25" x14ac:dyDescent="0.2">
      <c r="A45" s="46"/>
      <c r="B45" s="46"/>
      <c r="C45" s="46" t="s">
        <v>58</v>
      </c>
      <c r="D45" s="46"/>
      <c r="E45" s="46"/>
      <c r="F45" s="46"/>
      <c r="G45" s="150">
        <v>41000</v>
      </c>
    </row>
    <row r="46" spans="1:7" s="43" customFormat="1" ht="20.25" x14ac:dyDescent="0.2">
      <c r="A46" s="46"/>
      <c r="B46" s="46"/>
      <c r="C46" s="46" t="s">
        <v>53</v>
      </c>
      <c r="D46" s="46"/>
      <c r="E46" s="46"/>
      <c r="F46" s="46"/>
      <c r="G46" s="150">
        <f>ROUNDUP((1800+4675.64+34905.29+1033.01-10000-2673-17150-1033+14000)*1.01,-2)</f>
        <v>25900</v>
      </c>
    </row>
    <row r="47" spans="1:7" s="43" customFormat="1" ht="20.25" x14ac:dyDescent="0.2">
      <c r="A47" s="46"/>
      <c r="B47" s="46"/>
      <c r="C47" s="46" t="s">
        <v>811</v>
      </c>
      <c r="D47" s="46"/>
      <c r="E47" s="46"/>
      <c r="F47" s="46"/>
      <c r="G47" s="150">
        <v>36000</v>
      </c>
    </row>
    <row r="48" spans="1:7" s="43" customFormat="1" ht="20.25" x14ac:dyDescent="0.2">
      <c r="A48" s="46"/>
      <c r="B48" s="46"/>
      <c r="C48" s="46" t="s">
        <v>54</v>
      </c>
      <c r="D48" s="46"/>
      <c r="E48" s="46"/>
      <c r="F48" s="46"/>
      <c r="G48" s="150">
        <f>ROUNDUP(46266.27*1.02,-2)</f>
        <v>47200</v>
      </c>
    </row>
    <row r="49" spans="1:7" s="43" customFormat="1" ht="20.25" x14ac:dyDescent="0.2">
      <c r="A49" s="46"/>
      <c r="B49" s="46"/>
      <c r="C49" s="46" t="s">
        <v>55</v>
      </c>
      <c r="D49" s="46"/>
      <c r="E49" s="46"/>
      <c r="F49" s="46"/>
      <c r="G49" s="150">
        <f>ROUND((2604.31+166143.24-12000)*1.01,-2)</f>
        <v>158300</v>
      </c>
    </row>
    <row r="50" spans="1:7" s="43" customFormat="1" ht="20.25" hidden="1" x14ac:dyDescent="0.2">
      <c r="A50" s="46"/>
      <c r="B50" s="46"/>
      <c r="C50" s="46" t="s">
        <v>812</v>
      </c>
      <c r="D50" s="46"/>
      <c r="E50" s="46"/>
      <c r="F50" s="46"/>
      <c r="G50" s="150"/>
    </row>
    <row r="51" spans="1:7" s="43" customFormat="1" ht="20.25" x14ac:dyDescent="0.2">
      <c r="A51" s="42"/>
      <c r="B51" s="42"/>
      <c r="C51" s="42"/>
      <c r="D51" s="42" t="s">
        <v>68</v>
      </c>
      <c r="E51" s="42"/>
      <c r="F51" s="42"/>
      <c r="G51" s="153">
        <f>SUM(G28:G50)</f>
        <v>1659631</v>
      </c>
    </row>
    <row r="52" spans="1:7" s="43" customFormat="1" ht="10.5" customHeight="1" thickBot="1" x14ac:dyDescent="0.25">
      <c r="A52" s="42"/>
      <c r="B52" s="42"/>
      <c r="C52" s="42"/>
      <c r="D52" s="42"/>
      <c r="E52" s="42"/>
      <c r="F52" s="42"/>
      <c r="G52" s="157"/>
    </row>
    <row r="53" spans="1:7" s="43" customFormat="1" ht="21" thickBot="1" x14ac:dyDescent="0.25">
      <c r="A53" s="42"/>
      <c r="B53" s="42"/>
      <c r="C53" s="42"/>
      <c r="D53" s="42" t="s">
        <v>130</v>
      </c>
      <c r="E53" s="42"/>
      <c r="F53" s="42"/>
      <c r="G53" s="157">
        <f>G25-G51</f>
        <v>21344</v>
      </c>
    </row>
    <row r="54" spans="1:7" s="43" customFormat="1" ht="11.25" customHeight="1" x14ac:dyDescent="0.2">
      <c r="A54" s="42"/>
      <c r="B54" s="42"/>
      <c r="C54" s="42"/>
      <c r="D54" s="42"/>
      <c r="E54" s="42"/>
      <c r="F54" s="42"/>
      <c r="G54" s="150"/>
    </row>
  </sheetData>
  <pageMargins left="0.45" right="0.45" top="0.5" bottom="0.5" header="0.3" footer="0.3"/>
  <pageSetup scale="75"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41"/>
  <sheetViews>
    <sheetView zoomScale="75" zoomScaleNormal="75" workbookViewId="0">
      <selection activeCell="M38" sqref="M38"/>
    </sheetView>
  </sheetViews>
  <sheetFormatPr defaultRowHeight="14.25" x14ac:dyDescent="0.2"/>
  <cols>
    <col min="1" max="1" width="2.875" style="33" customWidth="1"/>
    <col min="2" max="3" width="4.375" style="33" customWidth="1"/>
    <col min="4" max="4" width="11" style="33" customWidth="1"/>
    <col min="5" max="5" width="2.875" style="33" customWidth="1"/>
    <col min="6" max="6" width="34.625" style="33" customWidth="1"/>
    <col min="7" max="9" width="23.375" bestFit="1" customWidth="1"/>
    <col min="10" max="22" width="18" bestFit="1" customWidth="1"/>
    <col min="23" max="23" width="16.875" bestFit="1" customWidth="1"/>
  </cols>
  <sheetData>
    <row r="1" spans="1:23" ht="26.25" x14ac:dyDescent="0.4">
      <c r="A1" s="34" t="s">
        <v>0</v>
      </c>
      <c r="B1" s="35"/>
      <c r="C1" s="36"/>
      <c r="D1" s="36"/>
      <c r="E1" s="36"/>
      <c r="F1" s="35"/>
      <c r="G1" s="35"/>
    </row>
    <row r="2" spans="1:23" ht="26.25" x14ac:dyDescent="0.4">
      <c r="A2" s="34" t="s">
        <v>176</v>
      </c>
      <c r="B2" s="35"/>
      <c r="C2" s="36"/>
      <c r="D2" s="36"/>
      <c r="E2" s="36"/>
      <c r="F2" s="35"/>
      <c r="G2" s="35"/>
    </row>
    <row r="3" spans="1:23" ht="11.25" customHeight="1" thickBot="1" x14ac:dyDescent="0.25">
      <c r="A3" s="37"/>
      <c r="B3" s="37"/>
      <c r="C3" s="37"/>
      <c r="D3" s="37"/>
      <c r="E3" s="37"/>
      <c r="F3" s="37"/>
      <c r="G3" s="221"/>
    </row>
    <row r="4" spans="1:23" ht="27.75" thickTop="1" thickBot="1" x14ac:dyDescent="0.25">
      <c r="A4" s="39"/>
      <c r="B4" s="39"/>
      <c r="C4" s="39"/>
      <c r="D4" s="39" t="s">
        <v>581</v>
      </c>
      <c r="E4" s="39"/>
      <c r="F4" s="39"/>
      <c r="G4" s="267" t="s">
        <v>4</v>
      </c>
      <c r="H4" s="267"/>
      <c r="I4" s="267"/>
      <c r="J4" s="267"/>
      <c r="K4" s="267"/>
      <c r="L4" s="267"/>
      <c r="M4" s="267"/>
      <c r="N4" s="267"/>
      <c r="O4" s="267"/>
      <c r="P4" s="267"/>
      <c r="Q4" s="267"/>
      <c r="R4" s="267"/>
      <c r="S4" s="267"/>
      <c r="T4" s="267"/>
      <c r="U4" s="267"/>
      <c r="V4" s="267"/>
      <c r="W4" s="267"/>
    </row>
    <row r="5" spans="1:23" ht="21" thickTop="1" x14ac:dyDescent="0.2">
      <c r="A5" s="42"/>
      <c r="B5" s="42"/>
      <c r="C5" s="42"/>
      <c r="D5" s="42"/>
      <c r="E5" s="42"/>
      <c r="F5" s="42"/>
      <c r="G5" s="43"/>
      <c r="H5" s="43"/>
      <c r="I5" s="43"/>
      <c r="J5" s="43"/>
      <c r="K5" s="43"/>
      <c r="L5" s="43"/>
      <c r="M5" s="43"/>
      <c r="N5" s="43"/>
      <c r="O5" s="43"/>
      <c r="P5" s="43"/>
      <c r="Q5" s="43"/>
      <c r="R5" s="43"/>
      <c r="S5" s="43"/>
      <c r="T5" s="43"/>
      <c r="U5" s="43"/>
      <c r="V5" s="43"/>
      <c r="W5" s="43"/>
    </row>
    <row r="6" spans="1:23" ht="21" customHeight="1" thickBot="1" x14ac:dyDescent="0.35">
      <c r="A6" s="269"/>
      <c r="B6" s="893" t="s">
        <v>813</v>
      </c>
      <c r="C6" s="893"/>
      <c r="D6" s="893"/>
      <c r="E6" s="893"/>
      <c r="F6" s="893"/>
      <c r="G6" s="270">
        <v>42004</v>
      </c>
      <c r="H6" s="270">
        <v>41639</v>
      </c>
      <c r="I6" s="270">
        <v>41274</v>
      </c>
      <c r="J6" s="270">
        <v>41090</v>
      </c>
      <c r="K6" s="270">
        <v>40724</v>
      </c>
      <c r="L6" s="270">
        <v>40359</v>
      </c>
      <c r="M6" s="270">
        <v>39994</v>
      </c>
      <c r="N6" s="270">
        <v>39629</v>
      </c>
      <c r="O6" s="270">
        <v>39263</v>
      </c>
      <c r="P6" s="270">
        <v>38898</v>
      </c>
      <c r="Q6" s="270">
        <v>38533</v>
      </c>
      <c r="R6" s="270">
        <v>38168</v>
      </c>
      <c r="S6" s="270">
        <v>37802</v>
      </c>
      <c r="T6" s="270">
        <v>37437</v>
      </c>
      <c r="U6" s="270">
        <v>37072</v>
      </c>
      <c r="V6" s="270">
        <v>36707</v>
      </c>
      <c r="W6" s="270">
        <v>36341</v>
      </c>
    </row>
    <row r="7" spans="1:23" ht="20.25" x14ac:dyDescent="0.2">
      <c r="A7" s="42"/>
      <c r="B7" s="42"/>
      <c r="C7" s="42"/>
      <c r="D7" s="42"/>
      <c r="E7" s="42"/>
      <c r="F7" s="42"/>
      <c r="G7" s="43"/>
      <c r="H7" s="43"/>
      <c r="I7" s="43"/>
      <c r="J7" s="43"/>
      <c r="K7" s="43"/>
      <c r="L7" s="43"/>
      <c r="M7" s="43"/>
      <c r="N7" s="43"/>
      <c r="O7" s="43"/>
      <c r="P7" s="43"/>
      <c r="Q7" s="43"/>
      <c r="R7" s="43"/>
      <c r="S7" s="43"/>
      <c r="T7" s="43"/>
      <c r="U7" s="43"/>
      <c r="V7" s="43"/>
      <c r="W7" s="43"/>
    </row>
    <row r="8" spans="1:23" ht="20.25" x14ac:dyDescent="0.2">
      <c r="A8" s="42"/>
      <c r="B8" s="42"/>
      <c r="C8" s="42" t="s">
        <v>814</v>
      </c>
      <c r="D8" s="42"/>
      <c r="E8" s="42"/>
      <c r="F8" s="42"/>
      <c r="G8" s="159">
        <v>333525.67</v>
      </c>
      <c r="H8" s="159">
        <v>210919</v>
      </c>
      <c r="I8" s="159">
        <v>214148</v>
      </c>
      <c r="J8" s="159">
        <v>156809</v>
      </c>
      <c r="K8" s="159">
        <v>240314</v>
      </c>
      <c r="L8" s="159">
        <v>142815</v>
      </c>
      <c r="M8" s="159">
        <v>82502</v>
      </c>
      <c r="N8" s="159">
        <v>45758</v>
      </c>
      <c r="O8" s="159">
        <v>105458</v>
      </c>
      <c r="P8" s="159">
        <v>29475</v>
      </c>
      <c r="Q8" s="159">
        <v>22537</v>
      </c>
      <c r="R8" s="159">
        <v>42935</v>
      </c>
      <c r="S8" s="159">
        <v>144393</v>
      </c>
      <c r="T8" s="159">
        <v>42414</v>
      </c>
      <c r="U8" s="159">
        <f>69880+9123</f>
        <v>79003</v>
      </c>
      <c r="V8" s="159">
        <v>92767</v>
      </c>
      <c r="W8" s="159">
        <v>13150</v>
      </c>
    </row>
    <row r="9" spans="1:23" ht="20.25" x14ac:dyDescent="0.2">
      <c r="A9" s="46"/>
      <c r="B9" s="46"/>
      <c r="C9" s="42" t="s">
        <v>277</v>
      </c>
      <c r="D9" s="46"/>
      <c r="E9" s="46"/>
      <c r="F9" s="46"/>
      <c r="G9" s="185">
        <v>247907.12</v>
      </c>
      <c r="H9" s="185">
        <v>311775</v>
      </c>
      <c r="I9" s="185">
        <v>243797</v>
      </c>
      <c r="J9" s="185">
        <v>347870</v>
      </c>
      <c r="K9" s="185">
        <v>298266</v>
      </c>
      <c r="L9" s="185">
        <v>296605</v>
      </c>
      <c r="M9" s="185">
        <v>349918</v>
      </c>
      <c r="N9" s="185">
        <v>366842</v>
      </c>
      <c r="O9" s="185">
        <v>209667</v>
      </c>
      <c r="P9" s="185">
        <v>234735</v>
      </c>
      <c r="Q9" s="185">
        <v>254712</v>
      </c>
      <c r="R9" s="185">
        <v>250225</v>
      </c>
      <c r="S9" s="185">
        <v>85795</v>
      </c>
      <c r="T9" s="185">
        <v>185461</v>
      </c>
      <c r="U9" s="185">
        <v>99322</v>
      </c>
      <c r="V9" s="185">
        <v>80619</v>
      </c>
      <c r="W9" s="185">
        <v>49127</v>
      </c>
    </row>
    <row r="10" spans="1:23" ht="20.25" x14ac:dyDescent="0.2">
      <c r="A10" s="46"/>
      <c r="B10" s="46"/>
      <c r="C10" s="887" t="s">
        <v>596</v>
      </c>
      <c r="D10" s="887"/>
      <c r="E10" s="887"/>
      <c r="F10" s="887"/>
      <c r="G10" s="185">
        <v>0</v>
      </c>
      <c r="H10" s="185">
        <v>5142</v>
      </c>
      <c r="I10" s="185"/>
      <c r="J10" s="185"/>
      <c r="K10" s="185"/>
      <c r="L10" s="185"/>
      <c r="M10" s="185"/>
      <c r="N10" s="185"/>
      <c r="O10" s="185"/>
      <c r="P10" s="185"/>
      <c r="Q10" s="185"/>
      <c r="R10" s="185">
        <v>23</v>
      </c>
      <c r="S10" s="185">
        <v>4823</v>
      </c>
      <c r="T10" s="185">
        <v>6130</v>
      </c>
      <c r="U10" s="185">
        <v>19833</v>
      </c>
      <c r="V10" s="185"/>
      <c r="W10" s="185"/>
    </row>
    <row r="11" spans="1:23" ht="20.25" x14ac:dyDescent="0.2">
      <c r="A11" s="46"/>
      <c r="B11" s="46"/>
      <c r="C11" s="42" t="s">
        <v>815</v>
      </c>
      <c r="D11" s="46"/>
      <c r="E11" s="46"/>
      <c r="F11" s="46"/>
      <c r="G11" s="150">
        <v>31129.64</v>
      </c>
      <c r="H11" s="150">
        <v>30012</v>
      </c>
      <c r="I11" s="150">
        <v>30964</v>
      </c>
      <c r="J11" s="150">
        <v>30506</v>
      </c>
      <c r="K11" s="150">
        <v>28900</v>
      </c>
      <c r="L11" s="150">
        <v>28036</v>
      </c>
      <c r="M11" s="150"/>
      <c r="N11" s="150"/>
      <c r="O11" s="150"/>
      <c r="P11" s="150"/>
      <c r="Q11" s="150"/>
      <c r="R11" s="150"/>
      <c r="S11" s="150"/>
      <c r="T11" s="150"/>
      <c r="U11" s="150"/>
      <c r="V11" s="150"/>
      <c r="W11" s="150"/>
    </row>
    <row r="12" spans="1:23" ht="20.25" x14ac:dyDescent="0.2">
      <c r="A12" s="46"/>
      <c r="B12" s="46"/>
      <c r="C12" s="42" t="s">
        <v>816</v>
      </c>
      <c r="D12" s="47"/>
      <c r="E12" s="47"/>
      <c r="F12" s="47"/>
      <c r="G12" s="152">
        <v>5968.8799999999992</v>
      </c>
      <c r="H12" s="152">
        <v>4730</v>
      </c>
      <c r="I12" s="152">
        <v>3598</v>
      </c>
      <c r="J12" s="152">
        <f>1663+577</f>
        <v>2240</v>
      </c>
      <c r="K12" s="152">
        <f>5202</f>
        <v>5202</v>
      </c>
      <c r="L12" s="152">
        <v>1840</v>
      </c>
      <c r="M12" s="152">
        <v>1427</v>
      </c>
      <c r="N12" s="152">
        <v>360</v>
      </c>
      <c r="O12" s="152">
        <v>312</v>
      </c>
      <c r="P12" s="152"/>
      <c r="Q12" s="152">
        <v>5593</v>
      </c>
      <c r="R12" s="152">
        <v>3952</v>
      </c>
      <c r="S12" s="152">
        <v>13154</v>
      </c>
      <c r="T12" s="152">
        <v>2441</v>
      </c>
      <c r="U12" s="152"/>
      <c r="V12" s="152"/>
      <c r="W12" s="152"/>
    </row>
    <row r="13" spans="1:23" ht="20.25" x14ac:dyDescent="0.2">
      <c r="A13" s="42"/>
      <c r="B13" s="42"/>
      <c r="C13" s="42" t="s">
        <v>600</v>
      </c>
      <c r="D13" s="42"/>
      <c r="E13" s="42"/>
      <c r="F13" s="42"/>
      <c r="G13" s="153">
        <f>SUM(G8:G12)</f>
        <v>618531.31000000006</v>
      </c>
      <c r="H13" s="153">
        <f>SUM(H8:H12)</f>
        <v>562578</v>
      </c>
      <c r="I13" s="153">
        <f>SUM(I8:I12)</f>
        <v>492507</v>
      </c>
      <c r="J13" s="153">
        <f>SUM(J8:J12)</f>
        <v>537425</v>
      </c>
      <c r="K13" s="153">
        <f>SUM(K8:K12)</f>
        <v>572682</v>
      </c>
      <c r="L13" s="153">
        <f t="shared" ref="L13:W13" si="0">SUM(L8:L12)</f>
        <v>469296</v>
      </c>
      <c r="M13" s="153">
        <f t="shared" si="0"/>
        <v>433847</v>
      </c>
      <c r="N13" s="153">
        <f t="shared" si="0"/>
        <v>412960</v>
      </c>
      <c r="O13" s="153">
        <f t="shared" si="0"/>
        <v>315437</v>
      </c>
      <c r="P13" s="153">
        <f t="shared" si="0"/>
        <v>264210</v>
      </c>
      <c r="Q13" s="153">
        <f t="shared" si="0"/>
        <v>282842</v>
      </c>
      <c r="R13" s="153">
        <f t="shared" si="0"/>
        <v>297135</v>
      </c>
      <c r="S13" s="153">
        <f t="shared" si="0"/>
        <v>248165</v>
      </c>
      <c r="T13" s="153">
        <f t="shared" si="0"/>
        <v>236446</v>
      </c>
      <c r="U13" s="153">
        <f t="shared" si="0"/>
        <v>198158</v>
      </c>
      <c r="V13" s="153">
        <f t="shared" si="0"/>
        <v>173386</v>
      </c>
      <c r="W13" s="153">
        <f t="shared" si="0"/>
        <v>62277</v>
      </c>
    </row>
    <row r="14" spans="1:23" ht="20.25" x14ac:dyDescent="0.2">
      <c r="A14" s="42"/>
      <c r="B14" s="42"/>
      <c r="C14" s="42"/>
      <c r="D14" s="42"/>
      <c r="E14" s="42"/>
      <c r="F14" s="42"/>
      <c r="G14" s="153"/>
      <c r="H14" s="153"/>
      <c r="I14" s="153"/>
      <c r="J14" s="153"/>
      <c r="K14" s="153"/>
      <c r="L14" s="153"/>
      <c r="M14" s="153"/>
      <c r="N14" s="153"/>
      <c r="O14" s="153"/>
      <c r="P14" s="153"/>
      <c r="Q14" s="153"/>
      <c r="R14" s="153"/>
      <c r="S14" s="153"/>
      <c r="T14" s="153"/>
      <c r="U14" s="153"/>
      <c r="V14" s="153"/>
      <c r="W14" s="153"/>
    </row>
    <row r="15" spans="1:23" ht="20.25" x14ac:dyDescent="0.3">
      <c r="A15" s="44"/>
      <c r="B15" s="44" t="s">
        <v>817</v>
      </c>
      <c r="C15" s="44"/>
      <c r="D15" s="44"/>
      <c r="E15" s="44"/>
      <c r="F15" s="44"/>
      <c r="G15" s="174"/>
      <c r="H15" s="174"/>
      <c r="I15" s="174"/>
      <c r="J15" s="174"/>
      <c r="K15" s="174"/>
      <c r="L15" s="174"/>
      <c r="M15" s="174"/>
      <c r="N15" s="174"/>
      <c r="O15" s="174"/>
      <c r="P15" s="174"/>
      <c r="Q15" s="174"/>
      <c r="R15" s="174"/>
      <c r="S15" s="174"/>
      <c r="T15" s="174"/>
      <c r="U15" s="174"/>
      <c r="V15" s="174"/>
      <c r="W15" s="174"/>
    </row>
    <row r="16" spans="1:23" ht="20.25" x14ac:dyDescent="0.3">
      <c r="A16" s="44"/>
      <c r="B16" s="44"/>
      <c r="C16" s="44"/>
      <c r="D16" s="44"/>
      <c r="E16" s="44"/>
      <c r="F16" s="44"/>
      <c r="G16" s="174">
        <v>121148.45000000001</v>
      </c>
      <c r="H16" s="174">
        <v>88948</v>
      </c>
      <c r="I16" s="174">
        <v>81381</v>
      </c>
      <c r="J16" s="174">
        <v>85951</v>
      </c>
      <c r="K16" s="174">
        <v>75213</v>
      </c>
      <c r="L16" s="174">
        <v>103757</v>
      </c>
      <c r="M16" s="174">
        <v>72661</v>
      </c>
      <c r="N16" s="174">
        <v>91918</v>
      </c>
      <c r="O16" s="174">
        <v>80411</v>
      </c>
      <c r="P16" s="174">
        <v>57354</v>
      </c>
      <c r="Q16" s="174">
        <v>59451</v>
      </c>
      <c r="R16" s="174">
        <v>70947</v>
      </c>
      <c r="S16" s="174">
        <v>80279</v>
      </c>
      <c r="T16" s="174">
        <v>84266</v>
      </c>
      <c r="U16" s="174">
        <v>45164</v>
      </c>
      <c r="V16" s="174">
        <v>15210</v>
      </c>
      <c r="W16" s="174">
        <v>15599</v>
      </c>
    </row>
    <row r="17" spans="1:23" ht="20.25" hidden="1" x14ac:dyDescent="0.2">
      <c r="A17" s="42"/>
      <c r="B17" s="42"/>
      <c r="C17" s="42"/>
      <c r="D17" s="42"/>
      <c r="E17" s="42"/>
      <c r="F17" s="42"/>
      <c r="G17" s="153"/>
      <c r="H17" s="153"/>
      <c r="I17" s="153"/>
      <c r="J17" s="153"/>
      <c r="K17" s="153"/>
      <c r="L17" s="153"/>
      <c r="M17" s="153"/>
      <c r="N17" s="153"/>
      <c r="O17" s="153"/>
      <c r="P17" s="153"/>
      <c r="Q17" s="153"/>
      <c r="R17" s="153"/>
      <c r="S17" s="153"/>
      <c r="T17" s="153"/>
      <c r="U17" s="153"/>
      <c r="V17" s="153"/>
      <c r="W17" s="153"/>
    </row>
    <row r="18" spans="1:23" ht="20.25" hidden="1" x14ac:dyDescent="0.2">
      <c r="A18" s="42"/>
      <c r="B18" s="42"/>
      <c r="C18" s="42"/>
      <c r="D18" s="42"/>
      <c r="E18" s="42"/>
      <c r="F18" s="42"/>
      <c r="G18" s="150"/>
      <c r="H18" s="150"/>
      <c r="I18" s="150"/>
      <c r="J18" s="150"/>
      <c r="K18" s="150"/>
      <c r="L18" s="150"/>
      <c r="M18" s="150"/>
      <c r="N18" s="150"/>
      <c r="O18" s="150"/>
      <c r="P18" s="150"/>
      <c r="Q18" s="150"/>
      <c r="R18" s="150"/>
      <c r="S18" s="150"/>
      <c r="T18" s="150"/>
      <c r="U18" s="150"/>
      <c r="V18" s="150"/>
      <c r="W18" s="150"/>
    </row>
    <row r="19" spans="1:23" ht="27" thickBot="1" x14ac:dyDescent="0.25">
      <c r="A19" s="49" t="s">
        <v>608</v>
      </c>
      <c r="B19" s="49"/>
      <c r="C19" s="49"/>
      <c r="D19" s="49"/>
      <c r="E19" s="49"/>
      <c r="F19" s="49"/>
      <c r="G19" s="160">
        <f>G13+G16</f>
        <v>739679.76</v>
      </c>
      <c r="H19" s="160">
        <f>H13+H16</f>
        <v>651526</v>
      </c>
      <c r="I19" s="160">
        <f>I13+I16</f>
        <v>573888</v>
      </c>
      <c r="J19" s="160">
        <f>J13+J16</f>
        <v>623376</v>
      </c>
      <c r="K19" s="160">
        <f>K13+K16</f>
        <v>647895</v>
      </c>
      <c r="L19" s="160">
        <f t="shared" ref="L19:W19" si="1">L13+L16</f>
        <v>573053</v>
      </c>
      <c r="M19" s="160">
        <f t="shared" si="1"/>
        <v>506508</v>
      </c>
      <c r="N19" s="160">
        <f t="shared" si="1"/>
        <v>504878</v>
      </c>
      <c r="O19" s="160">
        <f t="shared" si="1"/>
        <v>395848</v>
      </c>
      <c r="P19" s="160">
        <f t="shared" si="1"/>
        <v>321564</v>
      </c>
      <c r="Q19" s="160">
        <f t="shared" si="1"/>
        <v>342293</v>
      </c>
      <c r="R19" s="160">
        <f t="shared" si="1"/>
        <v>368082</v>
      </c>
      <c r="S19" s="160">
        <f t="shared" si="1"/>
        <v>328444</v>
      </c>
      <c r="T19" s="160">
        <f t="shared" si="1"/>
        <v>320712</v>
      </c>
      <c r="U19" s="160">
        <f t="shared" si="1"/>
        <v>243322</v>
      </c>
      <c r="V19" s="160">
        <f t="shared" si="1"/>
        <v>188596</v>
      </c>
      <c r="W19" s="160">
        <f t="shared" si="1"/>
        <v>77876</v>
      </c>
    </row>
    <row r="20" spans="1:23" ht="21.75" thickTop="1" thickBot="1" x14ac:dyDescent="0.25">
      <c r="A20" s="42"/>
      <c r="B20" s="42"/>
      <c r="C20" s="42"/>
      <c r="D20" s="42"/>
      <c r="E20" s="42"/>
      <c r="F20" s="42"/>
      <c r="G20" s="225"/>
      <c r="H20" s="225"/>
      <c r="I20" s="225"/>
      <c r="J20" s="225"/>
      <c r="K20" s="225"/>
      <c r="L20" s="225"/>
      <c r="M20" s="225"/>
      <c r="N20" s="225"/>
      <c r="O20" s="225"/>
      <c r="P20" s="225"/>
      <c r="Q20" s="225"/>
      <c r="R20" s="225"/>
      <c r="S20" s="225"/>
      <c r="T20" s="225"/>
      <c r="U20" s="225"/>
      <c r="V20" s="225"/>
      <c r="W20" s="225"/>
    </row>
    <row r="21" spans="1:23" ht="27.75" thickTop="1" thickBot="1" x14ac:dyDescent="0.25">
      <c r="A21" s="39"/>
      <c r="B21" s="39"/>
      <c r="C21" s="39"/>
      <c r="D21" s="39" t="s">
        <v>609</v>
      </c>
      <c r="E21" s="39"/>
      <c r="F21" s="39"/>
      <c r="G21" s="156"/>
      <c r="H21" s="156"/>
      <c r="I21" s="156"/>
      <c r="J21" s="156"/>
      <c r="K21" s="156"/>
      <c r="L21" s="156"/>
      <c r="M21" s="156"/>
      <c r="N21" s="156"/>
      <c r="O21" s="156"/>
      <c r="P21" s="156"/>
      <c r="Q21" s="156"/>
      <c r="R21" s="156"/>
      <c r="S21" s="156"/>
      <c r="T21" s="156"/>
      <c r="U21" s="156"/>
      <c r="V21" s="156"/>
      <c r="W21" s="156"/>
    </row>
    <row r="22" spans="1:23" ht="21" thickTop="1" x14ac:dyDescent="0.2">
      <c r="A22" s="42"/>
      <c r="B22" s="42"/>
      <c r="C22" s="42"/>
      <c r="D22" s="42"/>
      <c r="E22" s="42"/>
      <c r="F22" s="42"/>
      <c r="G22" s="150"/>
      <c r="H22" s="150"/>
      <c r="I22" s="150"/>
      <c r="J22" s="150"/>
      <c r="K22" s="150"/>
      <c r="L22" s="150"/>
      <c r="M22" s="150"/>
      <c r="N22" s="150"/>
      <c r="O22" s="150"/>
      <c r="P22" s="150"/>
      <c r="Q22" s="150"/>
      <c r="R22" s="150"/>
      <c r="S22" s="150"/>
      <c r="T22" s="150"/>
      <c r="U22" s="150"/>
      <c r="V22" s="150"/>
      <c r="W22" s="150"/>
    </row>
    <row r="23" spans="1:23" ht="24" hidden="1" thickBot="1" x14ac:dyDescent="0.25">
      <c r="A23" s="42"/>
      <c r="B23" s="53" t="s">
        <v>610</v>
      </c>
      <c r="C23" s="54"/>
      <c r="D23" s="54"/>
      <c r="E23" s="54"/>
      <c r="F23" s="54"/>
      <c r="G23" s="157"/>
      <c r="H23" s="157"/>
      <c r="I23" s="157"/>
      <c r="J23" s="157"/>
      <c r="K23" s="157"/>
      <c r="L23" s="157"/>
      <c r="M23" s="157"/>
      <c r="N23" s="157"/>
      <c r="O23" s="157"/>
      <c r="P23" s="157"/>
      <c r="Q23" s="157"/>
      <c r="R23" s="157"/>
      <c r="S23" s="157"/>
      <c r="T23" s="157"/>
      <c r="U23" s="157"/>
      <c r="V23" s="157"/>
      <c r="W23" s="157"/>
    </row>
    <row r="24" spans="1:23" ht="20.25" hidden="1" x14ac:dyDescent="0.2">
      <c r="A24" s="42"/>
      <c r="B24" s="42"/>
      <c r="C24" s="42"/>
      <c r="D24" s="42"/>
      <c r="E24" s="42"/>
      <c r="F24" s="42"/>
      <c r="G24" s="150"/>
      <c r="H24" s="150"/>
      <c r="I24" s="150"/>
      <c r="J24" s="150"/>
      <c r="K24" s="150"/>
      <c r="L24" s="150"/>
      <c r="M24" s="150"/>
      <c r="N24" s="150"/>
      <c r="O24" s="150"/>
      <c r="P24" s="150"/>
      <c r="Q24" s="150"/>
      <c r="R24" s="150"/>
      <c r="S24" s="150"/>
      <c r="T24" s="150"/>
      <c r="U24" s="150"/>
      <c r="V24" s="150"/>
      <c r="W24" s="150"/>
    </row>
    <row r="25" spans="1:23" ht="21" thickBot="1" x14ac:dyDescent="0.35">
      <c r="A25" s="44"/>
      <c r="B25" s="97" t="s">
        <v>818</v>
      </c>
      <c r="C25" s="98"/>
      <c r="D25" s="97"/>
      <c r="E25" s="97"/>
      <c r="F25" s="97"/>
      <c r="G25" s="151"/>
      <c r="H25" s="151"/>
      <c r="I25" s="151"/>
      <c r="J25" s="151"/>
      <c r="K25" s="151"/>
      <c r="L25" s="151"/>
      <c r="M25" s="151"/>
      <c r="N25" s="151"/>
      <c r="O25" s="151"/>
      <c r="P25" s="151"/>
      <c r="Q25" s="151"/>
      <c r="R25" s="151"/>
      <c r="S25" s="151"/>
      <c r="T25" s="151"/>
      <c r="U25" s="151"/>
      <c r="V25" s="151"/>
      <c r="W25" s="151"/>
    </row>
    <row r="26" spans="1:23" ht="20.25" x14ac:dyDescent="0.2">
      <c r="A26" s="46"/>
      <c r="B26" s="46"/>
      <c r="C26" s="46"/>
      <c r="D26" s="46" t="s">
        <v>612</v>
      </c>
      <c r="E26" s="43"/>
      <c r="F26" s="46"/>
      <c r="G26" s="159">
        <v>31278.429999999997</v>
      </c>
      <c r="H26" s="159">
        <v>51714</v>
      </c>
      <c r="I26" s="159">
        <v>52083</v>
      </c>
      <c r="J26" s="159">
        <v>69820</v>
      </c>
      <c r="K26" s="159">
        <v>81032</v>
      </c>
      <c r="L26" s="159">
        <v>64928</v>
      </c>
      <c r="M26" s="159">
        <v>89064</v>
      </c>
      <c r="N26" s="159">
        <v>102814</v>
      </c>
      <c r="O26" s="159">
        <v>27734</v>
      </c>
      <c r="P26" s="159">
        <v>33537</v>
      </c>
      <c r="Q26" s="159">
        <v>47914</v>
      </c>
      <c r="R26" s="159">
        <v>42054</v>
      </c>
      <c r="S26" s="159">
        <v>32004</v>
      </c>
      <c r="T26" s="159">
        <v>28904</v>
      </c>
      <c r="U26" s="159">
        <v>2405</v>
      </c>
      <c r="V26" s="159">
        <v>7686</v>
      </c>
      <c r="W26" s="159">
        <v>0</v>
      </c>
    </row>
    <row r="27" spans="1:23" ht="20.25" x14ac:dyDescent="0.2">
      <c r="A27" s="46"/>
      <c r="B27" s="46"/>
      <c r="C27" s="46"/>
      <c r="D27" s="46" t="s">
        <v>819</v>
      </c>
      <c r="E27" s="43"/>
      <c r="F27" s="46"/>
      <c r="G27" s="150">
        <v>16019.88</v>
      </c>
      <c r="H27" s="150">
        <v>26466</v>
      </c>
      <c r="I27" s="150">
        <v>33722</v>
      </c>
      <c r="J27" s="150">
        <v>37279</v>
      </c>
      <c r="K27" s="150">
        <v>34130</v>
      </c>
      <c r="L27" s="150">
        <v>30917</v>
      </c>
      <c r="M27" s="150">
        <v>24891</v>
      </c>
      <c r="N27" s="150">
        <v>22167</v>
      </c>
      <c r="O27" s="150">
        <v>16739</v>
      </c>
      <c r="P27" s="150">
        <v>13502</v>
      </c>
      <c r="Q27" s="150">
        <v>10581</v>
      </c>
      <c r="R27" s="150">
        <v>28556</v>
      </c>
      <c r="S27" s="150">
        <v>22953</v>
      </c>
      <c r="T27" s="150">
        <v>13246</v>
      </c>
      <c r="U27" s="150">
        <v>10214</v>
      </c>
      <c r="V27" s="150">
        <v>5966</v>
      </c>
      <c r="W27" s="150">
        <v>2341</v>
      </c>
    </row>
    <row r="28" spans="1:23" ht="20.25" x14ac:dyDescent="0.2">
      <c r="A28" s="46"/>
      <c r="B28" s="46"/>
      <c r="C28" s="46"/>
      <c r="D28" s="46" t="s">
        <v>622</v>
      </c>
      <c r="E28" s="43"/>
      <c r="F28" s="46"/>
      <c r="G28" s="150">
        <v>19094</v>
      </c>
      <c r="H28" s="150">
        <v>21990</v>
      </c>
      <c r="I28" s="150">
        <v>17053</v>
      </c>
      <c r="J28" s="150">
        <v>23081</v>
      </c>
      <c r="K28" s="150">
        <v>20125</v>
      </c>
      <c r="L28" s="150">
        <v>23900</v>
      </c>
      <c r="M28" s="150">
        <v>25993</v>
      </c>
      <c r="N28" s="150">
        <v>25084</v>
      </c>
      <c r="O28" s="150">
        <v>17164</v>
      </c>
      <c r="P28" s="150">
        <v>23194</v>
      </c>
      <c r="Q28" s="150">
        <v>17986</v>
      </c>
      <c r="R28" s="150">
        <v>19684</v>
      </c>
      <c r="S28" s="150">
        <v>15461</v>
      </c>
      <c r="T28" s="150">
        <v>11736</v>
      </c>
      <c r="U28" s="150">
        <v>6552</v>
      </c>
      <c r="V28" s="150">
        <v>4625</v>
      </c>
      <c r="W28" s="150"/>
    </row>
    <row r="29" spans="1:23" ht="20.25" x14ac:dyDescent="0.2">
      <c r="A29" s="46"/>
      <c r="B29" s="46"/>
      <c r="C29" s="46"/>
      <c r="D29" s="46" t="s">
        <v>820</v>
      </c>
      <c r="E29" s="43"/>
      <c r="F29" s="46"/>
      <c r="G29" s="150"/>
      <c r="H29" s="150">
        <v>463</v>
      </c>
      <c r="I29" s="150">
        <f>1236+16400</f>
        <v>17636</v>
      </c>
      <c r="J29" s="150">
        <v>13302</v>
      </c>
      <c r="K29" s="150">
        <v>5311</v>
      </c>
      <c r="L29" s="150">
        <v>12315</v>
      </c>
      <c r="M29" s="150"/>
      <c r="N29" s="150"/>
      <c r="O29" s="150"/>
      <c r="P29" s="150">
        <v>20000</v>
      </c>
      <c r="Q29" s="150"/>
      <c r="R29" s="150">
        <v>25000</v>
      </c>
      <c r="S29" s="150"/>
      <c r="T29" s="150"/>
      <c r="U29" s="150"/>
      <c r="V29" s="150"/>
      <c r="W29" s="150">
        <v>48000</v>
      </c>
    </row>
    <row r="30" spans="1:23" ht="20.25" x14ac:dyDescent="0.2">
      <c r="A30" s="46"/>
      <c r="B30" s="46"/>
      <c r="C30" s="46"/>
      <c r="D30" s="46" t="s">
        <v>618</v>
      </c>
      <c r="E30" s="43"/>
      <c r="F30" s="46"/>
      <c r="G30" s="150">
        <v>136592.41</v>
      </c>
      <c r="H30" s="150">
        <v>101837</v>
      </c>
      <c r="I30" s="150">
        <v>31429</v>
      </c>
      <c r="J30" s="150">
        <v>21927</v>
      </c>
      <c r="K30" s="150">
        <v>24493</v>
      </c>
      <c r="L30" s="150">
        <v>23546</v>
      </c>
      <c r="M30" s="150">
        <v>29986</v>
      </c>
      <c r="N30" s="150">
        <v>97627</v>
      </c>
      <c r="O30" s="150">
        <v>91085</v>
      </c>
      <c r="P30" s="150">
        <v>6118</v>
      </c>
      <c r="Q30" s="150">
        <v>42621</v>
      </c>
      <c r="R30" s="150"/>
      <c r="S30" s="150">
        <v>13218</v>
      </c>
      <c r="T30" s="150">
        <v>36938</v>
      </c>
      <c r="U30" s="150">
        <v>40000</v>
      </c>
      <c r="V30" s="150">
        <v>38354</v>
      </c>
      <c r="W30" s="150">
        <v>11775</v>
      </c>
    </row>
    <row r="31" spans="1:23" ht="20.25" x14ac:dyDescent="0.2">
      <c r="A31" s="46"/>
      <c r="B31" s="46"/>
      <c r="C31" s="46"/>
      <c r="D31" s="47" t="s">
        <v>821</v>
      </c>
      <c r="E31" s="96"/>
      <c r="F31" s="47"/>
      <c r="G31" s="150"/>
      <c r="H31" s="150"/>
      <c r="I31" s="150"/>
      <c r="J31" s="150"/>
      <c r="K31" s="150"/>
      <c r="L31" s="150"/>
      <c r="M31" s="150"/>
      <c r="N31" s="150"/>
      <c r="O31" s="150"/>
      <c r="P31" s="150"/>
      <c r="Q31" s="150"/>
      <c r="R31" s="150"/>
      <c r="S31" s="150"/>
      <c r="T31" s="150"/>
      <c r="U31" s="150"/>
      <c r="V31" s="150"/>
      <c r="W31" s="150"/>
    </row>
    <row r="32" spans="1:23" ht="20.25" x14ac:dyDescent="0.2">
      <c r="A32" s="46"/>
      <c r="B32" s="46"/>
      <c r="C32" s="48" t="s">
        <v>619</v>
      </c>
      <c r="D32" s="46"/>
      <c r="E32" s="43"/>
      <c r="F32" s="46"/>
      <c r="G32" s="158">
        <f>SUM(G26:G31)</f>
        <v>202984.72</v>
      </c>
      <c r="H32" s="158">
        <f>SUM(H26:H31)</f>
        <v>202470</v>
      </c>
      <c r="I32" s="158">
        <f>SUM(I26:I31)</f>
        <v>151923</v>
      </c>
      <c r="J32" s="158">
        <f>SUM(J26:J31)</f>
        <v>165409</v>
      </c>
      <c r="K32" s="158">
        <f>SUM(K26:K31)</f>
        <v>165091</v>
      </c>
      <c r="L32" s="158">
        <f t="shared" ref="L32:W32" si="2">SUM(L26:L31)</f>
        <v>155606</v>
      </c>
      <c r="M32" s="158">
        <f t="shared" si="2"/>
        <v>169934</v>
      </c>
      <c r="N32" s="158">
        <f t="shared" si="2"/>
        <v>247692</v>
      </c>
      <c r="O32" s="158">
        <f t="shared" si="2"/>
        <v>152722</v>
      </c>
      <c r="P32" s="158">
        <f t="shared" si="2"/>
        <v>96351</v>
      </c>
      <c r="Q32" s="158">
        <f t="shared" si="2"/>
        <v>119102</v>
      </c>
      <c r="R32" s="158">
        <f t="shared" si="2"/>
        <v>115294</v>
      </c>
      <c r="S32" s="158">
        <f t="shared" si="2"/>
        <v>83636</v>
      </c>
      <c r="T32" s="158">
        <f t="shared" si="2"/>
        <v>90824</v>
      </c>
      <c r="U32" s="158">
        <f t="shared" si="2"/>
        <v>59171</v>
      </c>
      <c r="V32" s="158">
        <f t="shared" si="2"/>
        <v>56631</v>
      </c>
      <c r="W32" s="158">
        <f t="shared" si="2"/>
        <v>62116</v>
      </c>
    </row>
    <row r="33" spans="1:23" ht="20.25" x14ac:dyDescent="0.2">
      <c r="A33" s="46"/>
      <c r="B33" s="46"/>
      <c r="C33" s="46"/>
      <c r="D33" s="46"/>
      <c r="E33" s="46"/>
      <c r="F33" s="46"/>
      <c r="G33" s="150"/>
      <c r="H33" s="150"/>
      <c r="I33" s="150"/>
      <c r="J33" s="150"/>
      <c r="K33" s="150"/>
      <c r="L33" s="150"/>
      <c r="M33" s="150"/>
      <c r="N33" s="150"/>
      <c r="O33" s="150"/>
      <c r="P33" s="150"/>
      <c r="Q33" s="150"/>
      <c r="R33" s="150"/>
      <c r="S33" s="150"/>
      <c r="T33" s="150"/>
      <c r="U33" s="150"/>
      <c r="V33" s="150"/>
      <c r="W33" s="150"/>
    </row>
    <row r="34" spans="1:23" ht="20.25" x14ac:dyDescent="0.2">
      <c r="A34" s="42"/>
      <c r="B34" s="42"/>
      <c r="C34" s="42"/>
      <c r="D34" s="42"/>
      <c r="E34" s="42"/>
      <c r="F34" s="42"/>
      <c r="G34" s="271"/>
      <c r="H34" s="271"/>
      <c r="I34" s="271"/>
      <c r="J34" s="271"/>
      <c r="K34" s="271"/>
      <c r="L34" s="153"/>
      <c r="M34" s="153"/>
      <c r="N34" s="153"/>
      <c r="O34" s="153"/>
      <c r="P34" s="153"/>
      <c r="Q34" s="153"/>
      <c r="R34" s="153"/>
      <c r="S34" s="153"/>
      <c r="T34" s="153"/>
      <c r="U34" s="153"/>
      <c r="V34" s="153"/>
      <c r="W34" s="153"/>
    </row>
    <row r="35" spans="1:23" ht="24" thickBot="1" x14ac:dyDescent="0.25">
      <c r="A35" s="42"/>
      <c r="B35" s="53" t="s">
        <v>822</v>
      </c>
      <c r="C35" s="54"/>
      <c r="D35" s="54"/>
      <c r="E35" s="54"/>
      <c r="F35" s="54"/>
      <c r="G35" s="157"/>
      <c r="H35" s="157"/>
      <c r="I35" s="157"/>
      <c r="J35" s="157"/>
      <c r="K35" s="157"/>
      <c r="L35" s="157"/>
      <c r="M35" s="157"/>
      <c r="N35" s="157"/>
      <c r="O35" s="157"/>
      <c r="P35" s="157"/>
      <c r="Q35" s="157"/>
      <c r="R35" s="157"/>
      <c r="S35" s="157"/>
      <c r="T35" s="157"/>
      <c r="U35" s="157"/>
      <c r="V35" s="157"/>
      <c r="W35" s="157"/>
    </row>
    <row r="36" spans="1:23" ht="23.25" x14ac:dyDescent="0.2">
      <c r="A36" s="42"/>
      <c r="B36" s="178"/>
      <c r="C36" s="42"/>
      <c r="D36" s="46" t="s">
        <v>823</v>
      </c>
      <c r="E36" s="42"/>
      <c r="F36" s="42"/>
      <c r="G36" s="150">
        <v>55367.21</v>
      </c>
      <c r="H36" s="150">
        <v>52578</v>
      </c>
      <c r="I36" s="150">
        <v>54372</v>
      </c>
      <c r="J36" s="150">
        <v>74343</v>
      </c>
      <c r="K36" s="150">
        <v>140489</v>
      </c>
      <c r="L36" s="150">
        <v>85282</v>
      </c>
      <c r="M36" s="150">
        <v>9601</v>
      </c>
      <c r="N36" s="150">
        <v>9601</v>
      </c>
      <c r="O36" s="150">
        <v>5248</v>
      </c>
      <c r="P36" s="150">
        <v>4472</v>
      </c>
      <c r="Q36" s="150">
        <v>15207</v>
      </c>
      <c r="R36" s="150"/>
      <c r="S36" s="150"/>
      <c r="T36" s="150"/>
      <c r="U36" s="150"/>
      <c r="V36" s="150"/>
      <c r="W36" s="150"/>
    </row>
    <row r="37" spans="1:23" ht="21" thickBot="1" x14ac:dyDescent="0.25">
      <c r="A37" s="46"/>
      <c r="B37" s="46"/>
      <c r="C37" s="43"/>
      <c r="D37" s="46" t="s">
        <v>824</v>
      </c>
      <c r="E37" s="268"/>
      <c r="F37" s="268"/>
      <c r="G37" s="157">
        <v>481327.83000000013</v>
      </c>
      <c r="H37" s="157">
        <v>396478</v>
      </c>
      <c r="I37" s="157">
        <v>367593</v>
      </c>
      <c r="J37" s="157">
        <v>383624</v>
      </c>
      <c r="K37" s="157">
        <v>342315</v>
      </c>
      <c r="L37" s="157">
        <v>332165</v>
      </c>
      <c r="M37" s="157">
        <v>326973</v>
      </c>
      <c r="N37" s="157">
        <v>247585</v>
      </c>
      <c r="O37" s="157">
        <v>237878</v>
      </c>
      <c r="P37" s="157">
        <v>220741</v>
      </c>
      <c r="Q37" s="157">
        <v>207984</v>
      </c>
      <c r="R37" s="157">
        <v>252788</v>
      </c>
      <c r="S37" s="157">
        <v>244808</v>
      </c>
      <c r="T37" s="157">
        <v>229888</v>
      </c>
      <c r="U37" s="157">
        <v>184151</v>
      </c>
      <c r="V37" s="157">
        <v>131965</v>
      </c>
      <c r="W37" s="157">
        <v>15760</v>
      </c>
    </row>
    <row r="38" spans="1:23" ht="23.25" x14ac:dyDescent="0.2">
      <c r="A38" s="42"/>
      <c r="B38" s="56" t="s">
        <v>629</v>
      </c>
      <c r="C38" s="57"/>
      <c r="D38" s="57"/>
      <c r="E38" s="42"/>
      <c r="F38" s="42"/>
      <c r="G38" s="153">
        <f>G36+G37</f>
        <v>536695.04000000015</v>
      </c>
      <c r="H38" s="153">
        <f>H36+H37</f>
        <v>449056</v>
      </c>
      <c r="I38" s="153">
        <f>I36+I37</f>
        <v>421965</v>
      </c>
      <c r="J38" s="153">
        <f>J36+J37</f>
        <v>457967</v>
      </c>
      <c r="K38" s="153">
        <f>K36+K37</f>
        <v>482804</v>
      </c>
      <c r="L38" s="153">
        <f t="shared" ref="L38:W38" si="3">L36+L37</f>
        <v>417447</v>
      </c>
      <c r="M38" s="153">
        <f t="shared" si="3"/>
        <v>336574</v>
      </c>
      <c r="N38" s="153">
        <f t="shared" si="3"/>
        <v>257186</v>
      </c>
      <c r="O38" s="153">
        <f t="shared" si="3"/>
        <v>243126</v>
      </c>
      <c r="P38" s="153">
        <f t="shared" si="3"/>
        <v>225213</v>
      </c>
      <c r="Q38" s="153">
        <f t="shared" si="3"/>
        <v>223191</v>
      </c>
      <c r="R38" s="153">
        <f t="shared" si="3"/>
        <v>252788</v>
      </c>
      <c r="S38" s="153">
        <f t="shared" si="3"/>
        <v>244808</v>
      </c>
      <c r="T38" s="153">
        <f t="shared" si="3"/>
        <v>229888</v>
      </c>
      <c r="U38" s="153">
        <f t="shared" si="3"/>
        <v>184151</v>
      </c>
      <c r="V38" s="153">
        <f t="shared" si="3"/>
        <v>131965</v>
      </c>
      <c r="W38" s="153">
        <f t="shared" si="3"/>
        <v>15760</v>
      </c>
    </row>
    <row r="39" spans="1:23" ht="20.25" x14ac:dyDescent="0.2">
      <c r="A39" s="42"/>
      <c r="B39" s="42"/>
      <c r="C39" s="42"/>
      <c r="D39" s="42"/>
      <c r="E39" s="42"/>
      <c r="F39" s="42"/>
      <c r="G39" s="152"/>
      <c r="H39" s="152"/>
      <c r="I39" s="152"/>
      <c r="J39" s="152"/>
      <c r="K39" s="152"/>
      <c r="L39" s="152"/>
      <c r="M39" s="152"/>
      <c r="N39" s="152"/>
      <c r="O39" s="152"/>
      <c r="P39" s="152"/>
      <c r="Q39" s="152"/>
      <c r="R39" s="152"/>
      <c r="S39" s="152"/>
      <c r="T39" s="152"/>
      <c r="U39" s="152"/>
      <c r="V39" s="152"/>
      <c r="W39" s="152"/>
    </row>
    <row r="40" spans="1:23" ht="27" thickBot="1" x14ac:dyDescent="0.25">
      <c r="A40" s="49" t="s">
        <v>630</v>
      </c>
      <c r="B40" s="49"/>
      <c r="C40" s="49"/>
      <c r="D40" s="49"/>
      <c r="E40" s="49"/>
      <c r="F40" s="49"/>
      <c r="G40" s="247">
        <f>G32+G38</f>
        <v>739679.76000000013</v>
      </c>
      <c r="H40" s="247">
        <f>H32+H38</f>
        <v>651526</v>
      </c>
      <c r="I40" s="247">
        <f>I32+I38</f>
        <v>573888</v>
      </c>
      <c r="J40" s="247">
        <f>J32+J38</f>
        <v>623376</v>
      </c>
      <c r="K40" s="247">
        <f>K32+K38</f>
        <v>647895</v>
      </c>
      <c r="L40" s="247">
        <f t="shared" ref="L40:W40" si="4">L32+L38</f>
        <v>573053</v>
      </c>
      <c r="M40" s="247">
        <f t="shared" si="4"/>
        <v>506508</v>
      </c>
      <c r="N40" s="247">
        <f t="shared" si="4"/>
        <v>504878</v>
      </c>
      <c r="O40" s="247">
        <f t="shared" si="4"/>
        <v>395848</v>
      </c>
      <c r="P40" s="247">
        <f t="shared" si="4"/>
        <v>321564</v>
      </c>
      <c r="Q40" s="247">
        <f t="shared" si="4"/>
        <v>342293</v>
      </c>
      <c r="R40" s="247">
        <f t="shared" si="4"/>
        <v>368082</v>
      </c>
      <c r="S40" s="247">
        <f t="shared" si="4"/>
        <v>328444</v>
      </c>
      <c r="T40" s="247">
        <f t="shared" si="4"/>
        <v>320712</v>
      </c>
      <c r="U40" s="247">
        <f t="shared" si="4"/>
        <v>243322</v>
      </c>
      <c r="V40" s="247">
        <f t="shared" si="4"/>
        <v>188596</v>
      </c>
      <c r="W40" s="247">
        <f t="shared" si="4"/>
        <v>77876</v>
      </c>
    </row>
    <row r="41" spans="1:23" ht="15" thickTop="1" x14ac:dyDescent="0.2">
      <c r="D41" s="237"/>
    </row>
  </sheetData>
  <mergeCells count="2">
    <mergeCell ref="B6:F6"/>
    <mergeCell ref="C10:F10"/>
  </mergeCells>
  <pageMargins left="0.2" right="0.2" top="1.25" bottom="0.5" header="0.3" footer="0.3"/>
  <pageSetup paperSize="5"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Y117"/>
  <sheetViews>
    <sheetView zoomScale="70" zoomScaleNormal="70" workbookViewId="0">
      <selection activeCell="F41" sqref="F41"/>
    </sheetView>
  </sheetViews>
  <sheetFormatPr defaultRowHeight="18" x14ac:dyDescent="0.25"/>
  <cols>
    <col min="1" max="1" width="2.875" style="33" customWidth="1"/>
    <col min="2" max="2" width="8.125" style="33" customWidth="1"/>
    <col min="3" max="3" width="8.75" style="33" customWidth="1"/>
    <col min="4" max="4" width="5.75" style="33" customWidth="1"/>
    <col min="5" max="5" width="2.875" style="33" customWidth="1"/>
    <col min="6" max="6" width="51.375" style="33" bestFit="1" customWidth="1"/>
    <col min="7" max="7" width="24.25" style="33" customWidth="1"/>
    <col min="8" max="9" width="24.125" style="33" customWidth="1"/>
    <col min="10" max="10" width="24.125" customWidth="1"/>
    <col min="11" max="11" width="22.875" bestFit="1" customWidth="1"/>
    <col min="12" max="12" width="10.25" style="253" bestFit="1" customWidth="1"/>
    <col min="13" max="13" width="10.875" bestFit="1" customWidth="1"/>
    <col min="14" max="15" width="10.875" customWidth="1"/>
    <col min="16" max="16" width="10.5" bestFit="1" customWidth="1"/>
    <col min="17" max="17" width="15.25" customWidth="1"/>
    <col min="18" max="18" width="14.625" style="19" customWidth="1"/>
    <col min="23" max="23" width="13.125" style="4" customWidth="1"/>
    <col min="24" max="24" width="18" customWidth="1"/>
    <col min="25" max="25" width="11.375" style="18" bestFit="1" customWidth="1"/>
    <col min="233" max="233" width="2.875" customWidth="1"/>
    <col min="234" max="234" width="8.125" customWidth="1"/>
    <col min="235" max="235" width="8.75" customWidth="1"/>
    <col min="236" max="236" width="11" customWidth="1"/>
    <col min="237" max="237" width="2.875" customWidth="1"/>
    <col min="238" max="238" width="77.625" customWidth="1"/>
    <col min="239" max="239" width="20.875" customWidth="1"/>
    <col min="489" max="489" width="2.875" customWidth="1"/>
    <col min="490" max="490" width="8.125" customWidth="1"/>
    <col min="491" max="491" width="8.75" customWidth="1"/>
    <col min="492" max="492" width="11" customWidth="1"/>
    <col min="493" max="493" width="2.875" customWidth="1"/>
    <col min="494" max="494" width="77.625" customWidth="1"/>
    <col min="495" max="495" width="20.875" customWidth="1"/>
    <col min="745" max="745" width="2.875" customWidth="1"/>
    <col min="746" max="746" width="8.125" customWidth="1"/>
    <col min="747" max="747" width="8.75" customWidth="1"/>
    <col min="748" max="748" width="11" customWidth="1"/>
    <col min="749" max="749" width="2.875" customWidth="1"/>
    <col min="750" max="750" width="77.625" customWidth="1"/>
    <col min="751" max="751" width="20.875" customWidth="1"/>
    <col min="1001" max="1001" width="2.875" customWidth="1"/>
    <col min="1002" max="1002" width="8.125" customWidth="1"/>
    <col min="1003" max="1003" width="8.75" customWidth="1"/>
    <col min="1004" max="1004" width="11" customWidth="1"/>
    <col min="1005" max="1005" width="2.875" customWidth="1"/>
    <col min="1006" max="1006" width="77.625" customWidth="1"/>
    <col min="1007" max="1007" width="20.875" customWidth="1"/>
    <col min="1257" max="1257" width="2.875" customWidth="1"/>
    <col min="1258" max="1258" width="8.125" customWidth="1"/>
    <col min="1259" max="1259" width="8.75" customWidth="1"/>
    <col min="1260" max="1260" width="11" customWidth="1"/>
    <col min="1261" max="1261" width="2.875" customWidth="1"/>
    <col min="1262" max="1262" width="77.625" customWidth="1"/>
    <col min="1263" max="1263" width="20.875" customWidth="1"/>
    <col min="1513" max="1513" width="2.875" customWidth="1"/>
    <col min="1514" max="1514" width="8.125" customWidth="1"/>
    <col min="1515" max="1515" width="8.75" customWidth="1"/>
    <col min="1516" max="1516" width="11" customWidth="1"/>
    <col min="1517" max="1517" width="2.875" customWidth="1"/>
    <col min="1518" max="1518" width="77.625" customWidth="1"/>
    <col min="1519" max="1519" width="20.875" customWidth="1"/>
    <col min="1769" max="1769" width="2.875" customWidth="1"/>
    <col min="1770" max="1770" width="8.125" customWidth="1"/>
    <col min="1771" max="1771" width="8.75" customWidth="1"/>
    <col min="1772" max="1772" width="11" customWidth="1"/>
    <col min="1773" max="1773" width="2.875" customWidth="1"/>
    <col min="1774" max="1774" width="77.625" customWidth="1"/>
    <col min="1775" max="1775" width="20.875" customWidth="1"/>
    <col min="2025" max="2025" width="2.875" customWidth="1"/>
    <col min="2026" max="2026" width="8.125" customWidth="1"/>
    <col min="2027" max="2027" width="8.75" customWidth="1"/>
    <col min="2028" max="2028" width="11" customWidth="1"/>
    <col min="2029" max="2029" width="2.875" customWidth="1"/>
    <col min="2030" max="2030" width="77.625" customWidth="1"/>
    <col min="2031" max="2031" width="20.875" customWidth="1"/>
    <col min="2281" max="2281" width="2.875" customWidth="1"/>
    <col min="2282" max="2282" width="8.125" customWidth="1"/>
    <col min="2283" max="2283" width="8.75" customWidth="1"/>
    <col min="2284" max="2284" width="11" customWidth="1"/>
    <col min="2285" max="2285" width="2.875" customWidth="1"/>
    <col min="2286" max="2286" width="77.625" customWidth="1"/>
    <col min="2287" max="2287" width="20.875" customWidth="1"/>
    <col min="2537" max="2537" width="2.875" customWidth="1"/>
    <col min="2538" max="2538" width="8.125" customWidth="1"/>
    <col min="2539" max="2539" width="8.75" customWidth="1"/>
    <col min="2540" max="2540" width="11" customWidth="1"/>
    <col min="2541" max="2541" width="2.875" customWidth="1"/>
    <col min="2542" max="2542" width="77.625" customWidth="1"/>
    <col min="2543" max="2543" width="20.875" customWidth="1"/>
    <col min="2793" max="2793" width="2.875" customWidth="1"/>
    <col min="2794" max="2794" width="8.125" customWidth="1"/>
    <col min="2795" max="2795" width="8.75" customWidth="1"/>
    <col min="2796" max="2796" width="11" customWidth="1"/>
    <col min="2797" max="2797" width="2.875" customWidth="1"/>
    <col min="2798" max="2798" width="77.625" customWidth="1"/>
    <col min="2799" max="2799" width="20.875" customWidth="1"/>
    <col min="3049" max="3049" width="2.875" customWidth="1"/>
    <col min="3050" max="3050" width="8.125" customWidth="1"/>
    <col min="3051" max="3051" width="8.75" customWidth="1"/>
    <col min="3052" max="3052" width="11" customWidth="1"/>
    <col min="3053" max="3053" width="2.875" customWidth="1"/>
    <col min="3054" max="3054" width="77.625" customWidth="1"/>
    <col min="3055" max="3055" width="20.875" customWidth="1"/>
    <col min="3305" max="3305" width="2.875" customWidth="1"/>
    <col min="3306" max="3306" width="8.125" customWidth="1"/>
    <col min="3307" max="3307" width="8.75" customWidth="1"/>
    <col min="3308" max="3308" width="11" customWidth="1"/>
    <col min="3309" max="3309" width="2.875" customWidth="1"/>
    <col min="3310" max="3310" width="77.625" customWidth="1"/>
    <col min="3311" max="3311" width="20.875" customWidth="1"/>
    <col min="3561" max="3561" width="2.875" customWidth="1"/>
    <col min="3562" max="3562" width="8.125" customWidth="1"/>
    <col min="3563" max="3563" width="8.75" customWidth="1"/>
    <col min="3564" max="3564" width="11" customWidth="1"/>
    <col min="3565" max="3565" width="2.875" customWidth="1"/>
    <col min="3566" max="3566" width="77.625" customWidth="1"/>
    <col min="3567" max="3567" width="20.875" customWidth="1"/>
    <col min="3817" max="3817" width="2.875" customWidth="1"/>
    <col min="3818" max="3818" width="8.125" customWidth="1"/>
    <col min="3819" max="3819" width="8.75" customWidth="1"/>
    <col min="3820" max="3820" width="11" customWidth="1"/>
    <col min="3821" max="3821" width="2.875" customWidth="1"/>
    <col min="3822" max="3822" width="77.625" customWidth="1"/>
    <col min="3823" max="3823" width="20.875" customWidth="1"/>
    <col min="4073" max="4073" width="2.875" customWidth="1"/>
    <col min="4074" max="4074" width="8.125" customWidth="1"/>
    <col min="4075" max="4075" width="8.75" customWidth="1"/>
    <col min="4076" max="4076" width="11" customWidth="1"/>
    <col min="4077" max="4077" width="2.875" customWidth="1"/>
    <col min="4078" max="4078" width="77.625" customWidth="1"/>
    <col min="4079" max="4079" width="20.875" customWidth="1"/>
    <col min="4329" max="4329" width="2.875" customWidth="1"/>
    <col min="4330" max="4330" width="8.125" customWidth="1"/>
    <col min="4331" max="4331" width="8.75" customWidth="1"/>
    <col min="4332" max="4332" width="11" customWidth="1"/>
    <col min="4333" max="4333" width="2.875" customWidth="1"/>
    <col min="4334" max="4334" width="77.625" customWidth="1"/>
    <col min="4335" max="4335" width="20.875" customWidth="1"/>
    <col min="4585" max="4585" width="2.875" customWidth="1"/>
    <col min="4586" max="4586" width="8.125" customWidth="1"/>
    <col min="4587" max="4587" width="8.75" customWidth="1"/>
    <col min="4588" max="4588" width="11" customWidth="1"/>
    <col min="4589" max="4589" width="2.875" customWidth="1"/>
    <col min="4590" max="4590" width="77.625" customWidth="1"/>
    <col min="4591" max="4591" width="20.875" customWidth="1"/>
    <col min="4841" max="4841" width="2.875" customWidth="1"/>
    <col min="4842" max="4842" width="8.125" customWidth="1"/>
    <col min="4843" max="4843" width="8.75" customWidth="1"/>
    <col min="4844" max="4844" width="11" customWidth="1"/>
    <col min="4845" max="4845" width="2.875" customWidth="1"/>
    <col min="4846" max="4846" width="77.625" customWidth="1"/>
    <col min="4847" max="4847" width="20.875" customWidth="1"/>
    <col min="5097" max="5097" width="2.875" customWidth="1"/>
    <col min="5098" max="5098" width="8.125" customWidth="1"/>
    <col min="5099" max="5099" width="8.75" customWidth="1"/>
    <col min="5100" max="5100" width="11" customWidth="1"/>
    <col min="5101" max="5101" width="2.875" customWidth="1"/>
    <col min="5102" max="5102" width="77.625" customWidth="1"/>
    <col min="5103" max="5103" width="20.875" customWidth="1"/>
    <col min="5353" max="5353" width="2.875" customWidth="1"/>
    <col min="5354" max="5354" width="8.125" customWidth="1"/>
    <col min="5355" max="5355" width="8.75" customWidth="1"/>
    <col min="5356" max="5356" width="11" customWidth="1"/>
    <col min="5357" max="5357" width="2.875" customWidth="1"/>
    <col min="5358" max="5358" width="77.625" customWidth="1"/>
    <col min="5359" max="5359" width="20.875" customWidth="1"/>
    <col min="5609" max="5609" width="2.875" customWidth="1"/>
    <col min="5610" max="5610" width="8.125" customWidth="1"/>
    <col min="5611" max="5611" width="8.75" customWidth="1"/>
    <col min="5612" max="5612" width="11" customWidth="1"/>
    <col min="5613" max="5613" width="2.875" customWidth="1"/>
    <col min="5614" max="5614" width="77.625" customWidth="1"/>
    <col min="5615" max="5615" width="20.875" customWidth="1"/>
    <col min="5865" max="5865" width="2.875" customWidth="1"/>
    <col min="5866" max="5866" width="8.125" customWidth="1"/>
    <col min="5867" max="5867" width="8.75" customWidth="1"/>
    <col min="5868" max="5868" width="11" customWidth="1"/>
    <col min="5869" max="5869" width="2.875" customWidth="1"/>
    <col min="5870" max="5870" width="77.625" customWidth="1"/>
    <col min="5871" max="5871" width="20.875" customWidth="1"/>
    <col min="6121" max="6121" width="2.875" customWidth="1"/>
    <col min="6122" max="6122" width="8.125" customWidth="1"/>
    <col min="6123" max="6123" width="8.75" customWidth="1"/>
    <col min="6124" max="6124" width="11" customWidth="1"/>
    <col min="6125" max="6125" width="2.875" customWidth="1"/>
    <col min="6126" max="6126" width="77.625" customWidth="1"/>
    <col min="6127" max="6127" width="20.875" customWidth="1"/>
    <col min="6377" max="6377" width="2.875" customWidth="1"/>
    <col min="6378" max="6378" width="8.125" customWidth="1"/>
    <col min="6379" max="6379" width="8.75" customWidth="1"/>
    <col min="6380" max="6380" width="11" customWidth="1"/>
    <col min="6381" max="6381" width="2.875" customWidth="1"/>
    <col min="6382" max="6382" width="77.625" customWidth="1"/>
    <col min="6383" max="6383" width="20.875" customWidth="1"/>
    <col min="6633" max="6633" width="2.875" customWidth="1"/>
    <col min="6634" max="6634" width="8.125" customWidth="1"/>
    <col min="6635" max="6635" width="8.75" customWidth="1"/>
    <col min="6636" max="6636" width="11" customWidth="1"/>
    <col min="6637" max="6637" width="2.875" customWidth="1"/>
    <col min="6638" max="6638" width="77.625" customWidth="1"/>
    <col min="6639" max="6639" width="20.875" customWidth="1"/>
    <col min="6889" max="6889" width="2.875" customWidth="1"/>
    <col min="6890" max="6890" width="8.125" customWidth="1"/>
    <col min="6891" max="6891" width="8.75" customWidth="1"/>
    <col min="6892" max="6892" width="11" customWidth="1"/>
    <col min="6893" max="6893" width="2.875" customWidth="1"/>
    <col min="6894" max="6894" width="77.625" customWidth="1"/>
    <col min="6895" max="6895" width="20.875" customWidth="1"/>
    <col min="7145" max="7145" width="2.875" customWidth="1"/>
    <col min="7146" max="7146" width="8.125" customWidth="1"/>
    <col min="7147" max="7147" width="8.75" customWidth="1"/>
    <col min="7148" max="7148" width="11" customWidth="1"/>
    <col min="7149" max="7149" width="2.875" customWidth="1"/>
    <col min="7150" max="7150" width="77.625" customWidth="1"/>
    <col min="7151" max="7151" width="20.875" customWidth="1"/>
    <col min="7401" max="7401" width="2.875" customWidth="1"/>
    <col min="7402" max="7402" width="8.125" customWidth="1"/>
    <col min="7403" max="7403" width="8.75" customWidth="1"/>
    <col min="7404" max="7404" width="11" customWidth="1"/>
    <col min="7405" max="7405" width="2.875" customWidth="1"/>
    <col min="7406" max="7406" width="77.625" customWidth="1"/>
    <col min="7407" max="7407" width="20.875" customWidth="1"/>
    <col min="7657" max="7657" width="2.875" customWidth="1"/>
    <col min="7658" max="7658" width="8.125" customWidth="1"/>
    <col min="7659" max="7659" width="8.75" customWidth="1"/>
    <col min="7660" max="7660" width="11" customWidth="1"/>
    <col min="7661" max="7661" width="2.875" customWidth="1"/>
    <col min="7662" max="7662" width="77.625" customWidth="1"/>
    <col min="7663" max="7663" width="20.875" customWidth="1"/>
    <col min="7913" max="7913" width="2.875" customWidth="1"/>
    <col min="7914" max="7914" width="8.125" customWidth="1"/>
    <col min="7915" max="7915" width="8.75" customWidth="1"/>
    <col min="7916" max="7916" width="11" customWidth="1"/>
    <col min="7917" max="7917" width="2.875" customWidth="1"/>
    <col min="7918" max="7918" width="77.625" customWidth="1"/>
    <col min="7919" max="7919" width="20.875" customWidth="1"/>
    <col min="8169" max="8169" width="2.875" customWidth="1"/>
    <col min="8170" max="8170" width="8.125" customWidth="1"/>
    <col min="8171" max="8171" width="8.75" customWidth="1"/>
    <col min="8172" max="8172" width="11" customWidth="1"/>
    <col min="8173" max="8173" width="2.875" customWidth="1"/>
    <col min="8174" max="8174" width="77.625" customWidth="1"/>
    <col min="8175" max="8175" width="20.875" customWidth="1"/>
    <col min="8425" max="8425" width="2.875" customWidth="1"/>
    <col min="8426" max="8426" width="8.125" customWidth="1"/>
    <col min="8427" max="8427" width="8.75" customWidth="1"/>
    <col min="8428" max="8428" width="11" customWidth="1"/>
    <col min="8429" max="8429" width="2.875" customWidth="1"/>
    <col min="8430" max="8430" width="77.625" customWidth="1"/>
    <col min="8431" max="8431" width="20.875" customWidth="1"/>
    <col min="8681" max="8681" width="2.875" customWidth="1"/>
    <col min="8682" max="8682" width="8.125" customWidth="1"/>
    <col min="8683" max="8683" width="8.75" customWidth="1"/>
    <col min="8684" max="8684" width="11" customWidth="1"/>
    <col min="8685" max="8685" width="2.875" customWidth="1"/>
    <col min="8686" max="8686" width="77.625" customWidth="1"/>
    <col min="8687" max="8687" width="20.875" customWidth="1"/>
    <col min="8937" max="8937" width="2.875" customWidth="1"/>
    <col min="8938" max="8938" width="8.125" customWidth="1"/>
    <col min="8939" max="8939" width="8.75" customWidth="1"/>
    <col min="8940" max="8940" width="11" customWidth="1"/>
    <col min="8941" max="8941" width="2.875" customWidth="1"/>
    <col min="8942" max="8942" width="77.625" customWidth="1"/>
    <col min="8943" max="8943" width="20.875" customWidth="1"/>
    <col min="9193" max="9193" width="2.875" customWidth="1"/>
    <col min="9194" max="9194" width="8.125" customWidth="1"/>
    <col min="9195" max="9195" width="8.75" customWidth="1"/>
    <col min="9196" max="9196" width="11" customWidth="1"/>
    <col min="9197" max="9197" width="2.875" customWidth="1"/>
    <col min="9198" max="9198" width="77.625" customWidth="1"/>
    <col min="9199" max="9199" width="20.875" customWidth="1"/>
    <col min="9449" max="9449" width="2.875" customWidth="1"/>
    <col min="9450" max="9450" width="8.125" customWidth="1"/>
    <col min="9451" max="9451" width="8.75" customWidth="1"/>
    <col min="9452" max="9452" width="11" customWidth="1"/>
    <col min="9453" max="9453" width="2.875" customWidth="1"/>
    <col min="9454" max="9454" width="77.625" customWidth="1"/>
    <col min="9455" max="9455" width="20.875" customWidth="1"/>
    <col min="9705" max="9705" width="2.875" customWidth="1"/>
    <col min="9706" max="9706" width="8.125" customWidth="1"/>
    <col min="9707" max="9707" width="8.75" customWidth="1"/>
    <col min="9708" max="9708" width="11" customWidth="1"/>
    <col min="9709" max="9709" width="2.875" customWidth="1"/>
    <col min="9710" max="9710" width="77.625" customWidth="1"/>
    <col min="9711" max="9711" width="20.875" customWidth="1"/>
    <col min="9961" max="9961" width="2.875" customWidth="1"/>
    <col min="9962" max="9962" width="8.125" customWidth="1"/>
    <col min="9963" max="9963" width="8.75" customWidth="1"/>
    <col min="9964" max="9964" width="11" customWidth="1"/>
    <col min="9965" max="9965" width="2.875" customWidth="1"/>
    <col min="9966" max="9966" width="77.625" customWidth="1"/>
    <col min="9967" max="9967" width="20.875" customWidth="1"/>
    <col min="10217" max="10217" width="2.875" customWidth="1"/>
    <col min="10218" max="10218" width="8.125" customWidth="1"/>
    <col min="10219" max="10219" width="8.75" customWidth="1"/>
    <col min="10220" max="10220" width="11" customWidth="1"/>
    <col min="10221" max="10221" width="2.875" customWidth="1"/>
    <col min="10222" max="10222" width="77.625" customWidth="1"/>
    <col min="10223" max="10223" width="20.875" customWidth="1"/>
    <col min="10473" max="10473" width="2.875" customWidth="1"/>
    <col min="10474" max="10474" width="8.125" customWidth="1"/>
    <col min="10475" max="10475" width="8.75" customWidth="1"/>
    <col min="10476" max="10476" width="11" customWidth="1"/>
    <col min="10477" max="10477" width="2.875" customWidth="1"/>
    <col min="10478" max="10478" width="77.625" customWidth="1"/>
    <col min="10479" max="10479" width="20.875" customWidth="1"/>
    <col min="10729" max="10729" width="2.875" customWidth="1"/>
    <col min="10730" max="10730" width="8.125" customWidth="1"/>
    <col min="10731" max="10731" width="8.75" customWidth="1"/>
    <col min="10732" max="10732" width="11" customWidth="1"/>
    <col min="10733" max="10733" width="2.875" customWidth="1"/>
    <col min="10734" max="10734" width="77.625" customWidth="1"/>
    <col min="10735" max="10735" width="20.875" customWidth="1"/>
    <col min="10985" max="10985" width="2.875" customWidth="1"/>
    <col min="10986" max="10986" width="8.125" customWidth="1"/>
    <col min="10987" max="10987" width="8.75" customWidth="1"/>
    <col min="10988" max="10988" width="11" customWidth="1"/>
    <col min="10989" max="10989" width="2.875" customWidth="1"/>
    <col min="10990" max="10990" width="77.625" customWidth="1"/>
    <col min="10991" max="10991" width="20.875" customWidth="1"/>
    <col min="11241" max="11241" width="2.875" customWidth="1"/>
    <col min="11242" max="11242" width="8.125" customWidth="1"/>
    <col min="11243" max="11243" width="8.75" customWidth="1"/>
    <col min="11244" max="11244" width="11" customWidth="1"/>
    <col min="11245" max="11245" width="2.875" customWidth="1"/>
    <col min="11246" max="11246" width="77.625" customWidth="1"/>
    <col min="11247" max="11247" width="20.875" customWidth="1"/>
    <col min="11497" max="11497" width="2.875" customWidth="1"/>
    <col min="11498" max="11498" width="8.125" customWidth="1"/>
    <col min="11499" max="11499" width="8.75" customWidth="1"/>
    <col min="11500" max="11500" width="11" customWidth="1"/>
    <col min="11501" max="11501" width="2.875" customWidth="1"/>
    <col min="11502" max="11502" width="77.625" customWidth="1"/>
    <col min="11503" max="11503" width="20.875" customWidth="1"/>
    <col min="11753" max="11753" width="2.875" customWidth="1"/>
    <col min="11754" max="11754" width="8.125" customWidth="1"/>
    <col min="11755" max="11755" width="8.75" customWidth="1"/>
    <col min="11756" max="11756" width="11" customWidth="1"/>
    <col min="11757" max="11757" width="2.875" customWidth="1"/>
    <col min="11758" max="11758" width="77.625" customWidth="1"/>
    <col min="11759" max="11759" width="20.875" customWidth="1"/>
    <col min="12009" max="12009" width="2.875" customWidth="1"/>
    <col min="12010" max="12010" width="8.125" customWidth="1"/>
    <col min="12011" max="12011" width="8.75" customWidth="1"/>
    <col min="12012" max="12012" width="11" customWidth="1"/>
    <col min="12013" max="12013" width="2.875" customWidth="1"/>
    <col min="12014" max="12014" width="77.625" customWidth="1"/>
    <col min="12015" max="12015" width="20.875" customWidth="1"/>
    <col min="12265" max="12265" width="2.875" customWidth="1"/>
    <col min="12266" max="12266" width="8.125" customWidth="1"/>
    <col min="12267" max="12267" width="8.75" customWidth="1"/>
    <col min="12268" max="12268" width="11" customWidth="1"/>
    <col min="12269" max="12269" width="2.875" customWidth="1"/>
    <col min="12270" max="12270" width="77.625" customWidth="1"/>
    <col min="12271" max="12271" width="20.875" customWidth="1"/>
    <col min="12521" max="12521" width="2.875" customWidth="1"/>
    <col min="12522" max="12522" width="8.125" customWidth="1"/>
    <col min="12523" max="12523" width="8.75" customWidth="1"/>
    <col min="12524" max="12524" width="11" customWidth="1"/>
    <col min="12525" max="12525" width="2.875" customWidth="1"/>
    <col min="12526" max="12526" width="77.625" customWidth="1"/>
    <col min="12527" max="12527" width="20.875" customWidth="1"/>
    <col min="12777" max="12777" width="2.875" customWidth="1"/>
    <col min="12778" max="12778" width="8.125" customWidth="1"/>
    <col min="12779" max="12779" width="8.75" customWidth="1"/>
    <col min="12780" max="12780" width="11" customWidth="1"/>
    <col min="12781" max="12781" width="2.875" customWidth="1"/>
    <col min="12782" max="12782" width="77.625" customWidth="1"/>
    <col min="12783" max="12783" width="20.875" customWidth="1"/>
    <col min="13033" max="13033" width="2.875" customWidth="1"/>
    <col min="13034" max="13034" width="8.125" customWidth="1"/>
    <col min="13035" max="13035" width="8.75" customWidth="1"/>
    <col min="13036" max="13036" width="11" customWidth="1"/>
    <col min="13037" max="13037" width="2.875" customWidth="1"/>
    <col min="13038" max="13038" width="77.625" customWidth="1"/>
    <col min="13039" max="13039" width="20.875" customWidth="1"/>
    <col min="13289" max="13289" width="2.875" customWidth="1"/>
    <col min="13290" max="13290" width="8.125" customWidth="1"/>
    <col min="13291" max="13291" width="8.75" customWidth="1"/>
    <col min="13292" max="13292" width="11" customWidth="1"/>
    <col min="13293" max="13293" width="2.875" customWidth="1"/>
    <col min="13294" max="13294" width="77.625" customWidth="1"/>
    <col min="13295" max="13295" width="20.875" customWidth="1"/>
    <col min="13545" max="13545" width="2.875" customWidth="1"/>
    <col min="13546" max="13546" width="8.125" customWidth="1"/>
    <col min="13547" max="13547" width="8.75" customWidth="1"/>
    <col min="13548" max="13548" width="11" customWidth="1"/>
    <col min="13549" max="13549" width="2.875" customWidth="1"/>
    <col min="13550" max="13550" width="77.625" customWidth="1"/>
    <col min="13551" max="13551" width="20.875" customWidth="1"/>
    <col min="13801" max="13801" width="2.875" customWidth="1"/>
    <col min="13802" max="13802" width="8.125" customWidth="1"/>
    <col min="13803" max="13803" width="8.75" customWidth="1"/>
    <col min="13804" max="13804" width="11" customWidth="1"/>
    <col min="13805" max="13805" width="2.875" customWidth="1"/>
    <col min="13806" max="13806" width="77.625" customWidth="1"/>
    <col min="13807" max="13807" width="20.875" customWidth="1"/>
    <col min="14057" max="14057" width="2.875" customWidth="1"/>
    <col min="14058" max="14058" width="8.125" customWidth="1"/>
    <col min="14059" max="14059" width="8.75" customWidth="1"/>
    <col min="14060" max="14060" width="11" customWidth="1"/>
    <col min="14061" max="14061" width="2.875" customWidth="1"/>
    <col min="14062" max="14062" width="77.625" customWidth="1"/>
    <col min="14063" max="14063" width="20.875" customWidth="1"/>
    <col min="14313" max="14313" width="2.875" customWidth="1"/>
    <col min="14314" max="14314" width="8.125" customWidth="1"/>
    <col min="14315" max="14315" width="8.75" customWidth="1"/>
    <col min="14316" max="14316" width="11" customWidth="1"/>
    <col min="14317" max="14317" width="2.875" customWidth="1"/>
    <col min="14318" max="14318" width="77.625" customWidth="1"/>
    <col min="14319" max="14319" width="20.875" customWidth="1"/>
    <col min="14569" max="14569" width="2.875" customWidth="1"/>
    <col min="14570" max="14570" width="8.125" customWidth="1"/>
    <col min="14571" max="14571" width="8.75" customWidth="1"/>
    <col min="14572" max="14572" width="11" customWidth="1"/>
    <col min="14573" max="14573" width="2.875" customWidth="1"/>
    <col min="14574" max="14574" width="77.625" customWidth="1"/>
    <col min="14575" max="14575" width="20.875" customWidth="1"/>
    <col min="14825" max="14825" width="2.875" customWidth="1"/>
    <col min="14826" max="14826" width="8.125" customWidth="1"/>
    <col min="14827" max="14827" width="8.75" customWidth="1"/>
    <col min="14828" max="14828" width="11" customWidth="1"/>
    <col min="14829" max="14829" width="2.875" customWidth="1"/>
    <col min="14830" max="14830" width="77.625" customWidth="1"/>
    <col min="14831" max="14831" width="20.875" customWidth="1"/>
    <col min="15081" max="15081" width="2.875" customWidth="1"/>
    <col min="15082" max="15082" width="8.125" customWidth="1"/>
    <col min="15083" max="15083" width="8.75" customWidth="1"/>
    <col min="15084" max="15084" width="11" customWidth="1"/>
    <col min="15085" max="15085" width="2.875" customWidth="1"/>
    <col min="15086" max="15086" width="77.625" customWidth="1"/>
    <col min="15087" max="15087" width="20.875" customWidth="1"/>
    <col min="15337" max="15337" width="2.875" customWidth="1"/>
    <col min="15338" max="15338" width="8.125" customWidth="1"/>
    <col min="15339" max="15339" width="8.75" customWidth="1"/>
    <col min="15340" max="15340" width="11" customWidth="1"/>
    <col min="15341" max="15341" width="2.875" customWidth="1"/>
    <col min="15342" max="15342" width="77.625" customWidth="1"/>
    <col min="15343" max="15343" width="20.875" customWidth="1"/>
    <col min="15593" max="15593" width="2.875" customWidth="1"/>
    <col min="15594" max="15594" width="8.125" customWidth="1"/>
    <col min="15595" max="15595" width="8.75" customWidth="1"/>
    <col min="15596" max="15596" width="11" customWidth="1"/>
    <col min="15597" max="15597" width="2.875" customWidth="1"/>
    <col min="15598" max="15598" width="77.625" customWidth="1"/>
    <col min="15599" max="15599" width="20.875" customWidth="1"/>
    <col min="15849" max="15849" width="2.875" customWidth="1"/>
    <col min="15850" max="15850" width="8.125" customWidth="1"/>
    <col min="15851" max="15851" width="8.75" customWidth="1"/>
    <col min="15852" max="15852" width="11" customWidth="1"/>
    <col min="15853" max="15853" width="2.875" customWidth="1"/>
    <col min="15854" max="15854" width="77.625" customWidth="1"/>
    <col min="15855" max="15855" width="20.875" customWidth="1"/>
    <col min="16105" max="16105" width="2.875" customWidth="1"/>
    <col min="16106" max="16106" width="8.125" customWidth="1"/>
    <col min="16107" max="16107" width="8.75" customWidth="1"/>
    <col min="16108" max="16108" width="11" customWidth="1"/>
    <col min="16109" max="16109" width="2.875" customWidth="1"/>
    <col min="16110" max="16110" width="77.625" customWidth="1"/>
    <col min="16111" max="16111" width="20.875" customWidth="1"/>
  </cols>
  <sheetData>
    <row r="1" spans="1:11" ht="22.5" customHeight="1" x14ac:dyDescent="0.4">
      <c r="A1" s="34" t="s">
        <v>0</v>
      </c>
      <c r="B1" s="35"/>
      <c r="C1" s="36"/>
      <c r="D1" s="36"/>
      <c r="E1" s="36"/>
      <c r="F1" s="35"/>
      <c r="G1" s="35"/>
      <c r="H1" s="35"/>
      <c r="I1" s="35"/>
      <c r="J1" s="35"/>
      <c r="K1" s="35"/>
    </row>
    <row r="2" spans="1:11" ht="22.5" customHeight="1" x14ac:dyDescent="0.4">
      <c r="A2" s="34" t="s">
        <v>100</v>
      </c>
      <c r="B2" s="35"/>
      <c r="C2" s="36"/>
      <c r="D2" s="36"/>
      <c r="E2" s="36"/>
      <c r="F2" s="35"/>
      <c r="G2" s="35"/>
      <c r="H2" s="35"/>
      <c r="I2" s="35"/>
      <c r="J2" s="35"/>
      <c r="K2" s="35"/>
    </row>
    <row r="3" spans="1:11" ht="21.75" hidden="1" customHeight="1" x14ac:dyDescent="0.4">
      <c r="A3" s="34" t="str">
        <f>'[2]August''22 State of Activities'!A3</f>
        <v>Eight Months Ended August 31, 2022 and 2021</v>
      </c>
      <c r="B3" s="35"/>
      <c r="C3" s="36"/>
      <c r="D3" s="36"/>
      <c r="E3" s="36"/>
      <c r="F3" s="35"/>
      <c r="G3" s="35"/>
      <c r="H3" s="35"/>
      <c r="I3" s="35"/>
      <c r="J3" s="35"/>
      <c r="K3" s="35"/>
    </row>
    <row r="4" spans="1:11" ht="22.5" customHeight="1" x14ac:dyDescent="0.4">
      <c r="A4" s="34" t="s">
        <v>101</v>
      </c>
      <c r="B4" s="35"/>
      <c r="C4" s="36"/>
      <c r="D4" s="36"/>
      <c r="E4" s="36"/>
      <c r="F4" s="35"/>
      <c r="G4" s="35"/>
      <c r="H4" s="35"/>
      <c r="I4" s="35"/>
      <c r="J4" s="35"/>
      <c r="K4" s="35"/>
    </row>
    <row r="5" spans="1:11" s="38" customFormat="1" ht="8.25" customHeight="1" thickBot="1" x14ac:dyDescent="0.25">
      <c r="A5" s="37"/>
      <c r="B5" s="37"/>
      <c r="C5" s="37"/>
      <c r="D5" s="37"/>
      <c r="E5" s="37"/>
      <c r="F5" s="37"/>
      <c r="G5" s="37"/>
      <c r="H5" s="37"/>
      <c r="I5" s="37"/>
      <c r="K5" s="221"/>
    </row>
    <row r="6" spans="1:11" s="41" customFormat="1" ht="24.75" customHeight="1" thickTop="1" thickBot="1" x14ac:dyDescent="0.25">
      <c r="A6" s="39" t="s">
        <v>3</v>
      </c>
      <c r="B6" s="39"/>
      <c r="C6" s="39"/>
      <c r="D6" s="39"/>
      <c r="E6" s="39"/>
      <c r="F6" s="39"/>
      <c r="G6" s="39"/>
      <c r="H6" s="39"/>
      <c r="I6" s="39"/>
      <c r="J6" s="267"/>
      <c r="K6" s="529"/>
    </row>
    <row r="7" spans="1:11" s="43" customFormat="1" ht="8.25" customHeight="1" thickTop="1" x14ac:dyDescent="0.2">
      <c r="A7" s="42"/>
      <c r="B7" s="42"/>
      <c r="C7" s="42"/>
      <c r="D7" s="42"/>
      <c r="E7" s="42"/>
      <c r="F7" s="42"/>
      <c r="G7" s="42"/>
      <c r="H7" s="42"/>
      <c r="I7" s="42"/>
    </row>
    <row r="8" spans="1:11" ht="21" thickBot="1" x14ac:dyDescent="0.35">
      <c r="A8" s="44"/>
      <c r="B8" s="97" t="s">
        <v>7</v>
      </c>
      <c r="C8" s="97"/>
      <c r="D8" s="97"/>
      <c r="E8" s="97"/>
      <c r="F8" s="97"/>
      <c r="G8" s="443">
        <v>43465</v>
      </c>
      <c r="H8" s="443">
        <v>43830</v>
      </c>
      <c r="I8" s="443">
        <v>44196</v>
      </c>
      <c r="J8" s="443">
        <v>44561</v>
      </c>
      <c r="K8" s="443">
        <v>44926</v>
      </c>
    </row>
    <row r="9" spans="1:11" s="43" customFormat="1" ht="20.25" x14ac:dyDescent="0.2">
      <c r="A9" s="42"/>
      <c r="B9" s="42"/>
      <c r="C9" s="46" t="s">
        <v>14</v>
      </c>
      <c r="D9" s="46"/>
      <c r="E9" s="46"/>
      <c r="F9" s="42"/>
      <c r="G9" s="159">
        <f>153461+3123</f>
        <v>156584</v>
      </c>
      <c r="H9" s="159">
        <v>158721</v>
      </c>
      <c r="I9" s="159">
        <f>68070.06</f>
        <v>68070.06</v>
      </c>
      <c r="J9" s="159">
        <v>85646.89</v>
      </c>
      <c r="K9" s="159">
        <f>57601.72+8000*2+14508</f>
        <v>88109.72</v>
      </c>
    </row>
    <row r="10" spans="1:11" s="43" customFormat="1" ht="20.25" x14ac:dyDescent="0.2">
      <c r="A10" s="42"/>
      <c r="B10" s="42"/>
      <c r="C10" s="46" t="s">
        <v>102</v>
      </c>
      <c r="D10" s="46"/>
      <c r="E10" s="46"/>
      <c r="F10" s="42"/>
      <c r="G10" s="150">
        <v>20332</v>
      </c>
      <c r="H10" s="150">
        <v>12278.42</v>
      </c>
      <c r="I10" s="150">
        <v>16169.1</v>
      </c>
      <c r="J10" s="150">
        <v>34505.879999999997</v>
      </c>
      <c r="K10" s="150">
        <v>13825</v>
      </c>
    </row>
    <row r="11" spans="1:11" s="43" customFormat="1" ht="20.25" x14ac:dyDescent="0.2">
      <c r="A11" s="42"/>
      <c r="B11" s="42"/>
      <c r="C11" s="46" t="s">
        <v>103</v>
      </c>
      <c r="D11" s="46"/>
      <c r="E11" s="46"/>
      <c r="F11" s="42"/>
      <c r="G11" s="150"/>
      <c r="H11" s="150">
        <v>10616</v>
      </c>
      <c r="I11" s="150">
        <v>3260</v>
      </c>
      <c r="J11" s="150">
        <v>0</v>
      </c>
      <c r="K11" s="150">
        <f>29668+15301</f>
        <v>44969</v>
      </c>
    </row>
    <row r="12" spans="1:11" s="43" customFormat="1" ht="20.25" x14ac:dyDescent="0.2">
      <c r="A12" s="42"/>
      <c r="B12" s="42"/>
      <c r="C12" s="46" t="s">
        <v>16</v>
      </c>
      <c r="D12" s="46"/>
      <c r="E12" s="46"/>
      <c r="F12" s="42"/>
      <c r="G12" s="150"/>
      <c r="H12" s="150"/>
      <c r="I12" s="150"/>
      <c r="J12" s="150"/>
      <c r="K12" s="150"/>
    </row>
    <row r="13" spans="1:11" s="43" customFormat="1" ht="20.25" x14ac:dyDescent="0.2">
      <c r="A13" s="42"/>
      <c r="B13" s="42"/>
      <c r="D13" s="46" t="s">
        <v>104</v>
      </c>
      <c r="E13" s="46"/>
      <c r="F13" s="42"/>
      <c r="G13" s="150">
        <v>42500</v>
      </c>
      <c r="H13" s="150">
        <v>44499.96</v>
      </c>
      <c r="I13" s="150">
        <f>3750*12</f>
        <v>45000</v>
      </c>
      <c r="J13" s="150">
        <v>45500</v>
      </c>
      <c r="K13" s="150">
        <v>46000</v>
      </c>
    </row>
    <row r="14" spans="1:11" s="43" customFormat="1" ht="20.25" x14ac:dyDescent="0.2">
      <c r="A14" s="42"/>
      <c r="B14" s="42"/>
      <c r="D14" s="46" t="s">
        <v>18</v>
      </c>
      <c r="E14" s="46"/>
      <c r="F14" s="42"/>
      <c r="G14" s="150">
        <v>9000</v>
      </c>
      <c r="H14" s="150">
        <v>13000</v>
      </c>
      <c r="I14" s="150">
        <v>18000</v>
      </c>
      <c r="J14" s="150">
        <v>18000</v>
      </c>
      <c r="K14" s="150">
        <v>18000</v>
      </c>
    </row>
    <row r="15" spans="1:11" s="43" customFormat="1" ht="20.25" x14ac:dyDescent="0.2">
      <c r="A15" s="42"/>
      <c r="B15" s="42"/>
      <c r="C15" s="46" t="s">
        <v>105</v>
      </c>
      <c r="D15" s="46"/>
      <c r="E15" s="46"/>
      <c r="F15" s="42"/>
      <c r="G15" s="150">
        <v>12796</v>
      </c>
      <c r="H15" s="150">
        <v>13071.46</v>
      </c>
      <c r="I15" s="150">
        <v>12695.06</v>
      </c>
      <c r="J15" s="150">
        <v>17445.740000000002</v>
      </c>
      <c r="K15" s="150">
        <v>17500</v>
      </c>
    </row>
    <row r="16" spans="1:11" s="43" customFormat="1" ht="20.25" x14ac:dyDescent="0.2">
      <c r="A16" s="42"/>
      <c r="B16" s="42"/>
      <c r="C16" s="46" t="s">
        <v>106</v>
      </c>
      <c r="D16" s="46"/>
      <c r="E16" s="46"/>
      <c r="F16" s="42"/>
      <c r="G16" s="150">
        <f>25000</f>
        <v>25000</v>
      </c>
      <c r="H16" s="150">
        <v>71886</v>
      </c>
      <c r="I16" s="150">
        <v>77911.459999999992</v>
      </c>
      <c r="J16" s="150">
        <v>80378.48</v>
      </c>
      <c r="K16" s="150">
        <v>34118</v>
      </c>
    </row>
    <row r="17" spans="2:12" s="43" customFormat="1" ht="20.25" x14ac:dyDescent="0.2">
      <c r="B17" s="42"/>
      <c r="C17" s="46" t="s">
        <v>107</v>
      </c>
      <c r="D17" s="46"/>
      <c r="E17" s="46"/>
      <c r="F17" s="42"/>
      <c r="G17" s="150">
        <f>659</f>
        <v>659</v>
      </c>
      <c r="H17" s="150">
        <v>7946</v>
      </c>
      <c r="I17" s="150">
        <v>255.74</v>
      </c>
      <c r="J17" s="150">
        <v>3312.47</v>
      </c>
      <c r="K17" s="150">
        <v>180</v>
      </c>
      <c r="L17" s="252"/>
    </row>
    <row r="18" spans="2:12" s="43" customFormat="1" ht="21" thickBot="1" x14ac:dyDescent="0.25">
      <c r="B18" s="42"/>
      <c r="C18" s="46" t="s">
        <v>108</v>
      </c>
      <c r="D18" s="46"/>
      <c r="E18" s="46"/>
      <c r="F18" s="42"/>
      <c r="G18" s="157">
        <v>9315</v>
      </c>
      <c r="H18" s="157">
        <v>9315</v>
      </c>
      <c r="I18" s="157">
        <v>9315</v>
      </c>
      <c r="J18" s="157">
        <v>10548</v>
      </c>
      <c r="K18" s="157">
        <v>10548</v>
      </c>
      <c r="L18" s="252"/>
    </row>
    <row r="19" spans="2:12" s="43" customFormat="1" ht="20.25" x14ac:dyDescent="0.2">
      <c r="B19" s="42"/>
      <c r="C19" s="46"/>
      <c r="D19" s="42" t="s">
        <v>33</v>
      </c>
      <c r="E19" s="46"/>
      <c r="F19" s="42"/>
      <c r="G19" s="150">
        <f>SUM(G9:G18)</f>
        <v>276186</v>
      </c>
      <c r="H19" s="150">
        <f>SUM(H9:H18)</f>
        <v>341333.83999999997</v>
      </c>
      <c r="I19" s="150">
        <f>SUM(I9:I18)</f>
        <v>250676.41999999998</v>
      </c>
      <c r="J19" s="150">
        <f>SUM(J9:J18)</f>
        <v>295337.45999999996</v>
      </c>
      <c r="K19" s="150">
        <f>SUM(K9:K18)</f>
        <v>273249.71999999997</v>
      </c>
      <c r="L19" s="252"/>
    </row>
    <row r="20" spans="2:12" s="43" customFormat="1" ht="20.25" x14ac:dyDescent="0.2">
      <c r="B20" s="42"/>
      <c r="C20" s="42" t="s">
        <v>109</v>
      </c>
      <c r="D20" s="46"/>
      <c r="E20" s="46"/>
      <c r="F20" s="42"/>
      <c r="G20" s="150">
        <v>19000</v>
      </c>
      <c r="H20" s="150">
        <v>19000</v>
      </c>
      <c r="I20" s="150">
        <v>19000</v>
      </c>
      <c r="J20" s="150">
        <v>18500</v>
      </c>
      <c r="K20" s="150">
        <f>13333/8*12</f>
        <v>19999.5</v>
      </c>
      <c r="L20" s="252"/>
    </row>
    <row r="21" spans="2:12" s="43" customFormat="1" ht="21" thickBot="1" x14ac:dyDescent="0.25">
      <c r="B21" s="42"/>
      <c r="C21" s="42" t="s">
        <v>110</v>
      </c>
      <c r="D21" s="46"/>
      <c r="E21" s="46"/>
      <c r="F21" s="42"/>
      <c r="G21" s="157">
        <v>37641</v>
      </c>
      <c r="H21" s="157">
        <v>37834</v>
      </c>
      <c r="I21" s="157">
        <v>34669.31</v>
      </c>
      <c r="J21" s="157">
        <v>26400.720000000001</v>
      </c>
      <c r="K21" s="157">
        <v>43300</v>
      </c>
      <c r="L21" s="252"/>
    </row>
    <row r="22" spans="2:12" s="43" customFormat="1" ht="20.25" x14ac:dyDescent="0.2">
      <c r="B22" s="42"/>
      <c r="C22" s="46"/>
      <c r="D22" s="42" t="s">
        <v>111</v>
      </c>
      <c r="E22" s="46"/>
      <c r="F22" s="42"/>
      <c r="G22" s="150">
        <f>SUM(G19:G21)</f>
        <v>332827</v>
      </c>
      <c r="H22" s="150">
        <f>SUM(H19:H21)</f>
        <v>398167.83999999997</v>
      </c>
      <c r="I22" s="150">
        <f>SUM(I19:I21)</f>
        <v>304345.73</v>
      </c>
      <c r="J22" s="150">
        <f>SUM(J19:J21)</f>
        <v>340238.17999999993</v>
      </c>
      <c r="K22" s="150">
        <f>SUM(K19:K21)</f>
        <v>336549.22</v>
      </c>
      <c r="L22" s="252"/>
    </row>
    <row r="23" spans="2:12" s="43" customFormat="1" ht="20.25" x14ac:dyDescent="0.2">
      <c r="B23" s="42"/>
      <c r="C23" s="46"/>
      <c r="D23" s="42"/>
      <c r="E23" s="46"/>
      <c r="F23" s="42" t="s">
        <v>112</v>
      </c>
      <c r="G23" s="150"/>
      <c r="H23" s="150">
        <v>-46886</v>
      </c>
      <c r="I23" s="150"/>
      <c r="J23" s="150"/>
      <c r="K23" s="150"/>
      <c r="L23" s="252"/>
    </row>
    <row r="24" spans="2:12" s="43" customFormat="1" ht="20.25" x14ac:dyDescent="0.2">
      <c r="B24" s="42"/>
      <c r="C24" s="46"/>
      <c r="D24" s="42" t="s">
        <v>113</v>
      </c>
      <c r="E24" s="46"/>
      <c r="F24" s="42"/>
      <c r="G24" s="150"/>
      <c r="H24" s="150">
        <f>SUM(H22:H23)</f>
        <v>351281.83999999997</v>
      </c>
      <c r="I24" s="150"/>
      <c r="J24" s="150"/>
      <c r="K24" s="150"/>
      <c r="L24" s="252"/>
    </row>
    <row r="25" spans="2:12" s="43" customFormat="1" ht="20.25" x14ac:dyDescent="0.2">
      <c r="B25" s="42"/>
      <c r="C25" s="46"/>
      <c r="D25" s="42"/>
      <c r="E25" s="46"/>
      <c r="F25" s="42"/>
      <c r="G25" s="42"/>
      <c r="H25" s="42"/>
      <c r="I25" s="42"/>
      <c r="J25" s="400"/>
      <c r="K25" s="400"/>
      <c r="L25" s="252"/>
    </row>
    <row r="26" spans="2:12" s="43" customFormat="1" ht="21" thickBot="1" x14ac:dyDescent="0.25">
      <c r="B26" s="54" t="s">
        <v>34</v>
      </c>
      <c r="C26" s="54"/>
      <c r="D26" s="54"/>
      <c r="E26" s="54"/>
      <c r="F26" s="54"/>
      <c r="G26" s="42"/>
      <c r="H26" s="42"/>
      <c r="I26" s="42"/>
      <c r="L26" s="252"/>
    </row>
    <row r="27" spans="2:12" s="43" customFormat="1" ht="20.25" x14ac:dyDescent="0.2">
      <c r="B27" s="42"/>
      <c r="C27" s="46" t="s">
        <v>114</v>
      </c>
      <c r="D27" s="46"/>
      <c r="E27" s="46"/>
      <c r="F27" s="46"/>
      <c r="G27" s="46"/>
      <c r="H27" s="46"/>
      <c r="I27" s="46"/>
      <c r="J27" s="181"/>
      <c r="K27" s="181"/>
      <c r="L27" s="252"/>
    </row>
    <row r="28" spans="2:12" s="43" customFormat="1" ht="20.25" x14ac:dyDescent="0.2">
      <c r="B28" s="42"/>
      <c r="C28" s="46"/>
      <c r="D28" s="814" t="s">
        <v>115</v>
      </c>
      <c r="E28" s="814"/>
      <c r="F28" s="814"/>
      <c r="G28" s="515">
        <v>146508</v>
      </c>
      <c r="H28" s="515">
        <v>162253.75</v>
      </c>
      <c r="I28" s="515">
        <v>133830.65</v>
      </c>
      <c r="J28" s="515">
        <v>155035.70000000001</v>
      </c>
      <c r="K28" s="515">
        <v>203000</v>
      </c>
      <c r="L28" s="252" t="s">
        <v>116</v>
      </c>
    </row>
    <row r="29" spans="2:12" s="43" customFormat="1" ht="20.25" x14ac:dyDescent="0.2">
      <c r="B29" s="42"/>
      <c r="C29" s="46"/>
      <c r="D29" s="814" t="s">
        <v>117</v>
      </c>
      <c r="E29" s="814"/>
      <c r="F29" s="814"/>
      <c r="G29" s="150">
        <v>59928</v>
      </c>
      <c r="H29" s="150">
        <f>37966.12+23862.63+605.03+106.59</f>
        <v>62540.369999999995</v>
      </c>
      <c r="I29" s="150">
        <f>44061.17+21220.39</f>
        <v>65281.56</v>
      </c>
      <c r="J29" s="150">
        <f>43631.85+27917.65</f>
        <v>71549.5</v>
      </c>
      <c r="K29" s="150">
        <f>49205+29027</f>
        <v>78232</v>
      </c>
      <c r="L29" s="252"/>
    </row>
    <row r="30" spans="2:12" s="43" customFormat="1" ht="20.25" x14ac:dyDescent="0.2">
      <c r="B30" s="42"/>
      <c r="C30" s="46"/>
      <c r="D30" s="814" t="s">
        <v>36</v>
      </c>
      <c r="E30" s="814"/>
      <c r="F30" s="814"/>
      <c r="G30" s="150">
        <v>39636</v>
      </c>
      <c r="H30" s="150">
        <v>42279.58</v>
      </c>
      <c r="I30" s="150">
        <v>36601</v>
      </c>
      <c r="J30" s="150">
        <f>J28*0.213+J29*0.14</f>
        <v>43039.534100000004</v>
      </c>
      <c r="K30" s="150">
        <f>K28*0.213+K29*0.14</f>
        <v>54191.48</v>
      </c>
      <c r="L30" s="252"/>
    </row>
    <row r="31" spans="2:12" s="43" customFormat="1" ht="20.25" x14ac:dyDescent="0.2">
      <c r="B31" s="42"/>
      <c r="C31" s="46" t="s">
        <v>118</v>
      </c>
      <c r="D31" s="46"/>
      <c r="E31" s="46"/>
      <c r="F31" s="46"/>
      <c r="G31" s="493"/>
      <c r="H31" s="493"/>
      <c r="I31" s="493"/>
      <c r="J31" s="493"/>
      <c r="K31" s="493"/>
      <c r="L31" s="252"/>
    </row>
    <row r="32" spans="2:12" s="43" customFormat="1" ht="20.25" x14ac:dyDescent="0.2">
      <c r="B32" s="42"/>
      <c r="C32" s="46"/>
      <c r="D32" s="814" t="s">
        <v>119</v>
      </c>
      <c r="E32" s="814"/>
      <c r="F32" s="814"/>
      <c r="G32" s="515">
        <v>27184</v>
      </c>
      <c r="H32" s="515">
        <v>25472.83</v>
      </c>
      <c r="I32" s="515">
        <v>15135.29</v>
      </c>
      <c r="J32" s="515">
        <v>25112.19</v>
      </c>
      <c r="K32" s="515">
        <v>38000</v>
      </c>
      <c r="L32" s="252" t="s">
        <v>116</v>
      </c>
    </row>
    <row r="33" spans="2:12" s="43" customFormat="1" ht="20.25" x14ac:dyDescent="0.2">
      <c r="B33" s="42"/>
      <c r="C33" s="46"/>
      <c r="D33" s="814" t="s">
        <v>120</v>
      </c>
      <c r="E33" s="814"/>
      <c r="F33" s="814"/>
      <c r="G33" s="150">
        <v>15511</v>
      </c>
      <c r="H33" s="150">
        <v>17989.87</v>
      </c>
      <c r="I33" s="150">
        <v>22636.98</v>
      </c>
      <c r="J33" s="150">
        <v>23957.25</v>
      </c>
      <c r="K33" s="150">
        <f>24654.76+600</f>
        <v>25254.76</v>
      </c>
      <c r="L33" s="252"/>
    </row>
    <row r="34" spans="2:12" s="43" customFormat="1" ht="20.25" x14ac:dyDescent="0.2">
      <c r="B34" s="42"/>
      <c r="C34" s="46"/>
      <c r="D34" s="814" t="s">
        <v>121</v>
      </c>
      <c r="E34" s="814"/>
      <c r="F34" s="814"/>
      <c r="G34" s="515">
        <v>12450</v>
      </c>
      <c r="H34" s="515">
        <v>16090.9</v>
      </c>
      <c r="I34" s="515">
        <v>11030.88</v>
      </c>
      <c r="J34" s="515">
        <v>19504.66</v>
      </c>
      <c r="K34" s="515">
        <v>8800</v>
      </c>
      <c r="L34" s="252" t="s">
        <v>116</v>
      </c>
    </row>
    <row r="35" spans="2:12" s="43" customFormat="1" ht="20.25" x14ac:dyDescent="0.2">
      <c r="B35" s="42"/>
      <c r="C35" s="46"/>
      <c r="D35" s="814" t="s">
        <v>122</v>
      </c>
      <c r="E35" s="814"/>
      <c r="F35" s="814"/>
      <c r="G35" s="150">
        <v>377</v>
      </c>
      <c r="H35" s="150">
        <v>1427.75</v>
      </c>
      <c r="I35" s="150">
        <v>397</v>
      </c>
      <c r="J35" s="150">
        <v>663</v>
      </c>
      <c r="K35" s="150">
        <v>750</v>
      </c>
      <c r="L35" s="252"/>
    </row>
    <row r="36" spans="2:12" s="43" customFormat="1" ht="20.25" x14ac:dyDescent="0.2">
      <c r="B36" s="42"/>
      <c r="C36" s="46" t="s">
        <v>123</v>
      </c>
      <c r="D36" s="46"/>
      <c r="E36" s="46"/>
      <c r="F36" s="46"/>
      <c r="G36" s="150">
        <v>25080</v>
      </c>
      <c r="H36" s="150">
        <f>22438.68+1591</f>
        <v>24029.68</v>
      </c>
      <c r="I36" s="150">
        <f>29909+1860</f>
        <v>31769</v>
      </c>
      <c r="J36" s="150">
        <f>1903+28481</f>
        <v>30384</v>
      </c>
      <c r="K36" s="150">
        <f>20556/8*12</f>
        <v>30834</v>
      </c>
      <c r="L36" s="252"/>
    </row>
    <row r="37" spans="2:12" s="43" customFormat="1" ht="20.25" x14ac:dyDescent="0.2">
      <c r="B37" s="42"/>
      <c r="C37" s="46" t="s">
        <v>38</v>
      </c>
      <c r="D37" s="46"/>
      <c r="E37" s="46"/>
      <c r="F37" s="46"/>
      <c r="G37" s="150">
        <f>G18</f>
        <v>9315</v>
      </c>
      <c r="H37" s="150">
        <f>H18</f>
        <v>9315</v>
      </c>
      <c r="I37" s="150">
        <f>I18</f>
        <v>9315</v>
      </c>
      <c r="J37" s="150">
        <f>J18</f>
        <v>10548</v>
      </c>
      <c r="K37" s="150">
        <f>K18</f>
        <v>10548</v>
      </c>
      <c r="L37" s="252"/>
    </row>
    <row r="38" spans="2:12" s="43" customFormat="1" ht="20.25" x14ac:dyDescent="0.2">
      <c r="B38" s="42"/>
      <c r="C38" s="46" t="s">
        <v>124</v>
      </c>
      <c r="D38" s="46"/>
      <c r="E38" s="46"/>
      <c r="F38" s="46"/>
      <c r="G38" s="150">
        <v>4075</v>
      </c>
      <c r="H38" s="150">
        <v>4497</v>
      </c>
      <c r="I38" s="150">
        <v>4682.25</v>
      </c>
      <c r="J38" s="150">
        <v>4231.88</v>
      </c>
      <c r="K38" s="150">
        <f>3948.9+400+400</f>
        <v>4748.8999999999996</v>
      </c>
      <c r="L38" s="252"/>
    </row>
    <row r="39" spans="2:12" s="43" customFormat="1" ht="20.25" x14ac:dyDescent="0.2">
      <c r="B39" s="42"/>
      <c r="C39" s="46" t="s">
        <v>125</v>
      </c>
      <c r="D39" s="46"/>
      <c r="E39" s="46"/>
      <c r="F39" s="46"/>
      <c r="G39" s="150">
        <v>1496</v>
      </c>
      <c r="H39" s="150">
        <f>75+874</f>
        <v>949</v>
      </c>
      <c r="I39" s="150">
        <v>982</v>
      </c>
      <c r="J39" s="150">
        <f>99+937</f>
        <v>1036</v>
      </c>
      <c r="K39" s="150">
        <v>1314</v>
      </c>
      <c r="L39" s="252"/>
    </row>
    <row r="40" spans="2:12" s="43" customFormat="1" ht="20.25" x14ac:dyDescent="0.2">
      <c r="B40" s="42"/>
      <c r="C40" s="46" t="s">
        <v>126</v>
      </c>
      <c r="D40" s="46"/>
      <c r="E40" s="46"/>
      <c r="F40" s="46"/>
      <c r="G40" s="150">
        <v>3430</v>
      </c>
      <c r="H40" s="150">
        <v>4436.1400000000003</v>
      </c>
      <c r="I40" s="150">
        <v>7774.44</v>
      </c>
      <c r="J40" s="150">
        <f>7884.62+184.74</f>
        <v>8069.36</v>
      </c>
      <c r="K40" s="150">
        <v>8600</v>
      </c>
      <c r="L40" s="252"/>
    </row>
    <row r="41" spans="2:12" s="43" customFormat="1" ht="20.25" x14ac:dyDescent="0.2">
      <c r="B41" s="42"/>
      <c r="C41" s="46" t="s">
        <v>127</v>
      </c>
      <c r="D41" s="46"/>
      <c r="E41" s="46"/>
      <c r="F41" s="46"/>
      <c r="G41" s="150">
        <v>459</v>
      </c>
      <c r="H41" s="150">
        <f>223.01+568.51</f>
        <v>791.52</v>
      </c>
      <c r="I41" s="150">
        <v>636.94000000000005</v>
      </c>
      <c r="J41" s="150">
        <f>958.23+28.31+10.3+36.4+4907.37</f>
        <v>5940.61</v>
      </c>
      <c r="K41" s="150">
        <v>1811</v>
      </c>
      <c r="L41" s="252"/>
    </row>
    <row r="42" spans="2:12" s="43" customFormat="1" ht="20.25" x14ac:dyDescent="0.2">
      <c r="B42" s="42"/>
      <c r="C42" s="46" t="s">
        <v>48</v>
      </c>
      <c r="D42" s="46"/>
      <c r="E42" s="46"/>
      <c r="F42" s="46"/>
      <c r="G42" s="150">
        <v>1041</v>
      </c>
      <c r="H42" s="150">
        <v>1826.56</v>
      </c>
      <c r="I42" s="150">
        <v>2528.2399999999998</v>
      </c>
      <c r="J42" s="150">
        <v>3426.72</v>
      </c>
      <c r="K42" s="150">
        <f>235.23+4801.81</f>
        <v>5037.04</v>
      </c>
      <c r="L42" s="252"/>
    </row>
    <row r="43" spans="2:12" s="43" customFormat="1" ht="20.25" x14ac:dyDescent="0.2">
      <c r="B43" s="42"/>
      <c r="C43" s="46" t="s">
        <v>44</v>
      </c>
      <c r="D43" s="46"/>
      <c r="E43" s="46"/>
      <c r="F43" s="46"/>
      <c r="G43" s="150">
        <v>436</v>
      </c>
      <c r="H43" s="150">
        <v>396.82</v>
      </c>
      <c r="I43" s="150">
        <v>385.18</v>
      </c>
      <c r="J43" s="150">
        <v>420.52</v>
      </c>
      <c r="K43" s="150">
        <f>421/10*12+125</f>
        <v>630.20000000000005</v>
      </c>
      <c r="L43" s="252"/>
    </row>
    <row r="44" spans="2:12" s="43" customFormat="1" ht="20.25" hidden="1" x14ac:dyDescent="0.2">
      <c r="B44" s="42"/>
      <c r="C44" s="46" t="s">
        <v>128</v>
      </c>
      <c r="D44" s="46"/>
      <c r="E44" s="46"/>
      <c r="F44" s="46"/>
      <c r="G44" s="150"/>
      <c r="H44" s="150"/>
      <c r="I44" s="150"/>
      <c r="J44" s="150"/>
      <c r="K44" s="150"/>
      <c r="L44" s="252"/>
    </row>
    <row r="45" spans="2:12" s="43" customFormat="1" ht="20.25" x14ac:dyDescent="0.2">
      <c r="B45" s="46"/>
      <c r="C45" s="46" t="s">
        <v>40</v>
      </c>
      <c r="D45" s="46"/>
      <c r="E45" s="46"/>
      <c r="F45" s="46"/>
      <c r="G45" s="150">
        <v>205</v>
      </c>
      <c r="H45" s="150">
        <v>422.62</v>
      </c>
      <c r="I45" s="150">
        <v>265.58</v>
      </c>
      <c r="J45" s="150">
        <v>225.92</v>
      </c>
      <c r="K45" s="150">
        <f>226/8*12</f>
        <v>339</v>
      </c>
      <c r="L45" s="252"/>
    </row>
    <row r="46" spans="2:12" s="43" customFormat="1" ht="20.25" x14ac:dyDescent="0.2">
      <c r="B46" s="46"/>
      <c r="C46" s="46" t="s">
        <v>129</v>
      </c>
      <c r="D46" s="46"/>
      <c r="E46" s="46"/>
      <c r="F46" s="46"/>
      <c r="G46" s="152">
        <v>542</v>
      </c>
      <c r="H46" s="152">
        <f>248.22+18.56+28.25+5</f>
        <v>300.02999999999997</v>
      </c>
      <c r="I46" s="152">
        <v>938.98</v>
      </c>
      <c r="J46" s="152">
        <f>292.24+4514.12-J38+84.23</f>
        <v>658.70999999999958</v>
      </c>
      <c r="K46" s="152">
        <v>225</v>
      </c>
      <c r="L46" s="252"/>
    </row>
    <row r="47" spans="2:12" s="43" customFormat="1" ht="21" thickBot="1" x14ac:dyDescent="0.25">
      <c r="B47" s="42"/>
      <c r="C47" s="42"/>
      <c r="D47" s="42" t="s">
        <v>68</v>
      </c>
      <c r="E47" s="42"/>
      <c r="F47" s="42"/>
      <c r="G47" s="313">
        <f>SUM(G28:G46)</f>
        <v>347673</v>
      </c>
      <c r="H47" s="313">
        <f>SUM(H28:H46)</f>
        <v>375019.4200000001</v>
      </c>
      <c r="I47" s="313">
        <f>SUM(I28:I46)</f>
        <v>344190.97</v>
      </c>
      <c r="J47" s="313">
        <f>SUM(J28:J46)</f>
        <v>403803.55409999995</v>
      </c>
      <c r="K47" s="313">
        <f>SUM(K28:K46)</f>
        <v>472315.38</v>
      </c>
      <c r="L47" s="252"/>
    </row>
    <row r="48" spans="2:12" s="43" customFormat="1" ht="21" thickBot="1" x14ac:dyDescent="0.25">
      <c r="B48" s="42"/>
      <c r="C48" s="42"/>
      <c r="D48" s="42" t="s">
        <v>130</v>
      </c>
      <c r="E48" s="42"/>
      <c r="F48" s="42"/>
      <c r="G48" s="314">
        <f>G22-G47</f>
        <v>-14846</v>
      </c>
      <c r="H48" s="314">
        <f>H22-H47</f>
        <v>23148.419999999867</v>
      </c>
      <c r="I48" s="314">
        <f>I22-I47</f>
        <v>-39845.239999999991</v>
      </c>
      <c r="J48" s="314">
        <f>J22-J47</f>
        <v>-63565.374100000015</v>
      </c>
      <c r="K48" s="314">
        <f>K22-K47</f>
        <v>-135766.16000000003</v>
      </c>
      <c r="L48" s="252"/>
    </row>
    <row r="50" spans="3:11" s="40" customFormat="1" ht="25.5" x14ac:dyDescent="0.2">
      <c r="C50" s="46" t="s">
        <v>131</v>
      </c>
      <c r="E50" s="46"/>
      <c r="F50" s="46"/>
      <c r="G50" s="532"/>
      <c r="H50" s="532">
        <f>-69500</f>
        <v>-69500</v>
      </c>
      <c r="I50" s="46"/>
      <c r="J50" s="150"/>
      <c r="K50" s="150"/>
    </row>
    <row r="51" spans="3:11" s="43" customFormat="1" ht="20.25" x14ac:dyDescent="0.2">
      <c r="C51" s="46" t="s">
        <v>132</v>
      </c>
      <c r="E51" s="42"/>
      <c r="G51" s="150">
        <f>G36</f>
        <v>25080</v>
      </c>
      <c r="H51" s="150">
        <f>H36</f>
        <v>24029.68</v>
      </c>
      <c r="I51" s="150">
        <f>I36</f>
        <v>31769</v>
      </c>
      <c r="J51" s="150">
        <f>J36</f>
        <v>30384</v>
      </c>
      <c r="K51" s="150">
        <f>K36</f>
        <v>30834</v>
      </c>
    </row>
    <row r="52" spans="3:11" s="43" customFormat="1" ht="21" thickBot="1" x14ac:dyDescent="0.25">
      <c r="C52" s="42"/>
      <c r="D52" s="817" t="s">
        <v>133</v>
      </c>
      <c r="E52" s="817"/>
      <c r="F52" s="817"/>
      <c r="G52" s="315">
        <f>G48+G50+G51</f>
        <v>10234</v>
      </c>
      <c r="H52" s="315">
        <f>H48+H50+H51</f>
        <v>-22321.900000000132</v>
      </c>
      <c r="I52" s="315">
        <f>I48+I50+I51</f>
        <v>-8076.2399999999907</v>
      </c>
      <c r="J52" s="315">
        <f>J48+J50+J51</f>
        <v>-33181.374100000015</v>
      </c>
      <c r="K52" s="315">
        <f>K48+K50+K51</f>
        <v>-104932.16000000003</v>
      </c>
    </row>
    <row r="53" spans="3:11" s="43" customFormat="1" ht="42" customHeight="1" thickTop="1" x14ac:dyDescent="0.2">
      <c r="C53" s="42"/>
      <c r="D53" s="42"/>
      <c r="E53" s="42"/>
      <c r="F53" s="42"/>
      <c r="G53" s="42"/>
      <c r="H53" s="42"/>
      <c r="I53" s="42"/>
      <c r="J53" s="150"/>
      <c r="K53" s="150"/>
    </row>
    <row r="54" spans="3:11" s="43" customFormat="1" ht="20.25" x14ac:dyDescent="0.2">
      <c r="C54" s="46"/>
      <c r="D54" s="46"/>
      <c r="F54" s="46" t="s">
        <v>134</v>
      </c>
      <c r="G54" s="150">
        <v>225930</v>
      </c>
      <c r="H54" s="150">
        <v>227723</v>
      </c>
      <c r="I54" s="150">
        <v>178666</v>
      </c>
      <c r="J54" s="150">
        <v>206080</v>
      </c>
      <c r="K54" s="150">
        <v>226000</v>
      </c>
    </row>
    <row r="55" spans="3:11" s="43" customFormat="1" ht="21" thickBot="1" x14ac:dyDescent="0.25">
      <c r="C55" s="46"/>
      <c r="D55" s="46"/>
      <c r="F55" s="46" t="s">
        <v>135</v>
      </c>
      <c r="G55" s="405">
        <f>(G47-G36-G37)/G54</f>
        <v>1.386615323330235</v>
      </c>
      <c r="H55" s="405">
        <f>(H47-H36-H37)/H54</f>
        <v>1.5003962709080774</v>
      </c>
      <c r="I55" s="405">
        <f>(I47-I36-I37)/I54</f>
        <v>1.6965005653006167</v>
      </c>
      <c r="J55" s="405">
        <f>(J47-J36-J37)/J54</f>
        <v>1.7608285816187885</v>
      </c>
      <c r="K55" s="405">
        <f>(K47-K36-K37)/K54</f>
        <v>1.9067848672566372</v>
      </c>
    </row>
    <row r="56" spans="3:11" s="43" customFormat="1" ht="20.25" x14ac:dyDescent="0.2">
      <c r="C56" s="46"/>
      <c r="D56" s="46"/>
      <c r="F56" s="46"/>
      <c r="G56" s="46"/>
      <c r="H56" s="150"/>
      <c r="I56" s="150"/>
      <c r="J56" s="150"/>
      <c r="K56" s="150"/>
    </row>
    <row r="57" spans="3:11" s="43" customFormat="1" ht="20.25" x14ac:dyDescent="0.2">
      <c r="C57" s="46"/>
      <c r="D57" s="46"/>
      <c r="F57" s="46" t="s">
        <v>136</v>
      </c>
      <c r="G57" s="150">
        <v>15755</v>
      </c>
      <c r="H57" s="150">
        <v>16457</v>
      </c>
      <c r="I57" s="150">
        <v>10151</v>
      </c>
      <c r="J57" s="150">
        <v>10428</v>
      </c>
      <c r="K57" s="150">
        <v>11740</v>
      </c>
    </row>
    <row r="58" spans="3:11" s="43" customFormat="1" ht="21" thickBot="1" x14ac:dyDescent="0.25">
      <c r="C58" s="46"/>
      <c r="D58" s="46"/>
      <c r="F58" s="46" t="s">
        <v>137</v>
      </c>
      <c r="G58" s="405">
        <f>(G47-G36-G37)/G57</f>
        <v>19.884354173278325</v>
      </c>
      <c r="H58" s="405">
        <f>(H47-H36-H37)/H57</f>
        <v>20.761666160296535</v>
      </c>
      <c r="I58" s="405">
        <f>(I47-I36-I37)/I57</f>
        <v>29.859813811447147</v>
      </c>
      <c r="J58" s="405">
        <f>(J47-J36-J37)/J57</f>
        <v>34.797809177215186</v>
      </c>
      <c r="K58" s="405">
        <f>(K47-K36-K37)/K57</f>
        <v>36.706420783645655</v>
      </c>
    </row>
    <row r="59" spans="3:11" s="43" customFormat="1" ht="20.25" x14ac:dyDescent="0.2">
      <c r="C59" s="46"/>
      <c r="D59" s="46"/>
      <c r="F59" s="46"/>
      <c r="G59" s="46"/>
      <c r="H59" s="150"/>
      <c r="I59" s="150"/>
      <c r="J59" s="150"/>
      <c r="K59" s="150"/>
    </row>
    <row r="60" spans="3:11" s="43" customFormat="1" ht="20.25" hidden="1" x14ac:dyDescent="0.2">
      <c r="C60" s="42"/>
      <c r="D60" s="46"/>
      <c r="F60" s="46" t="s">
        <v>138</v>
      </c>
      <c r="G60" s="46"/>
      <c r="H60" s="150">
        <v>2102</v>
      </c>
      <c r="I60" s="150">
        <v>2696</v>
      </c>
      <c r="J60" s="150">
        <v>2714</v>
      </c>
      <c r="K60" s="150">
        <v>2714</v>
      </c>
    </row>
    <row r="61" spans="3:11" s="43" customFormat="1" ht="21" hidden="1" thickBot="1" x14ac:dyDescent="0.25">
      <c r="C61" s="46"/>
      <c r="D61" s="46"/>
      <c r="E61" s="46"/>
      <c r="F61" s="46" t="s">
        <v>139</v>
      </c>
      <c r="G61" s="46"/>
      <c r="H61" s="405">
        <f>H10/H60</f>
        <v>5.8413035204567079</v>
      </c>
      <c r="I61" s="405">
        <f>I9/I60</f>
        <v>25.248538575667656</v>
      </c>
      <c r="J61" s="405">
        <f>J9/J60</f>
        <v>31.557439204126752</v>
      </c>
      <c r="K61" s="405">
        <f>K9/K60</f>
        <v>32.464893146647015</v>
      </c>
    </row>
    <row r="62" spans="3:11" s="43" customFormat="1" ht="20.25" hidden="1" x14ac:dyDescent="0.2">
      <c r="C62" s="42"/>
      <c r="D62" s="42"/>
      <c r="I62" s="150"/>
      <c r="J62" s="150"/>
      <c r="K62" s="150"/>
    </row>
    <row r="63" spans="3:11" s="43" customFormat="1" ht="20.25" hidden="1" x14ac:dyDescent="0.2">
      <c r="C63" s="46"/>
      <c r="D63" s="46"/>
      <c r="E63" s="46"/>
      <c r="F63" s="46" t="s">
        <v>140</v>
      </c>
      <c r="G63" s="46"/>
      <c r="H63" s="150">
        <v>195138</v>
      </c>
      <c r="I63" s="150">
        <v>104281</v>
      </c>
      <c r="J63" s="150">
        <v>114885</v>
      </c>
      <c r="K63" s="150">
        <v>134000</v>
      </c>
    </row>
    <row r="64" spans="3:11" s="43" customFormat="1" ht="21" hidden="1" thickBot="1" x14ac:dyDescent="0.25">
      <c r="C64" s="46"/>
      <c r="D64" s="46"/>
      <c r="E64" s="46"/>
      <c r="F64" s="46" t="s">
        <v>135</v>
      </c>
      <c r="G64" s="46"/>
      <c r="H64" s="405">
        <f>(H47-H36-H37)/H63</f>
        <v>1.7509390277649668</v>
      </c>
      <c r="I64" s="405">
        <f>(I47-I36-I37)/I63</f>
        <v>2.9066365876813607</v>
      </c>
      <c r="J64" s="405">
        <f>(J47-J36-J37)/J63</f>
        <v>3.1585633816425118</v>
      </c>
      <c r="K64" s="405">
        <f>(K47-K36-K37)/K63</f>
        <v>3.2159207462686568</v>
      </c>
    </row>
    <row r="66" spans="6:11" s="43" customFormat="1" ht="20.25" hidden="1" x14ac:dyDescent="0.2">
      <c r="F66" s="46" t="s">
        <v>140</v>
      </c>
      <c r="G66" s="46"/>
      <c r="H66" s="150">
        <v>195138</v>
      </c>
      <c r="I66" s="150">
        <v>104281</v>
      </c>
      <c r="J66" s="150">
        <v>114885</v>
      </c>
      <c r="K66" s="150">
        <f>K63</f>
        <v>134000</v>
      </c>
    </row>
    <row r="67" spans="6:11" s="43" customFormat="1" ht="20.25" hidden="1" x14ac:dyDescent="0.2">
      <c r="F67" s="46" t="s">
        <v>136</v>
      </c>
      <c r="G67" s="46"/>
      <c r="H67" s="150">
        <v>16457</v>
      </c>
      <c r="I67" s="150">
        <v>10151</v>
      </c>
      <c r="J67" s="150">
        <v>10428</v>
      </c>
      <c r="K67" s="150">
        <f>K57</f>
        <v>11740</v>
      </c>
    </row>
    <row r="68" spans="6:11" s="43" customFormat="1" ht="21" hidden="1" thickBot="1" x14ac:dyDescent="0.25">
      <c r="F68" s="46" t="s">
        <v>141</v>
      </c>
      <c r="G68" s="46"/>
      <c r="H68" s="533">
        <f>H66/H67</f>
        <v>11.857446679224646</v>
      </c>
      <c r="I68" s="533">
        <f>I66/I67</f>
        <v>10.272978031721014</v>
      </c>
      <c r="J68" s="533">
        <f>J66/J67</f>
        <v>11.016973532796317</v>
      </c>
      <c r="K68" s="533">
        <f>K66/K67</f>
        <v>11.41396933560477</v>
      </c>
    </row>
    <row r="69" spans="6:11" s="43" customFormat="1" ht="20.25" hidden="1" x14ac:dyDescent="0.2">
      <c r="F69" s="42"/>
      <c r="G69" s="42"/>
      <c r="H69" s="42"/>
      <c r="I69" s="153"/>
      <c r="J69" s="153"/>
      <c r="K69" s="153"/>
    </row>
    <row r="70" spans="6:11" s="43" customFormat="1" ht="20.25" hidden="1" x14ac:dyDescent="0.2">
      <c r="F70" s="46" t="s">
        <v>142</v>
      </c>
      <c r="G70" s="46"/>
      <c r="H70" s="150">
        <v>227723</v>
      </c>
      <c r="I70" s="150">
        <v>178666</v>
      </c>
      <c r="J70" s="150">
        <v>206080</v>
      </c>
      <c r="K70" s="150">
        <f>K54</f>
        <v>226000</v>
      </c>
    </row>
    <row r="71" spans="6:11" s="43" customFormat="1" ht="20.25" hidden="1" x14ac:dyDescent="0.2">
      <c r="F71" s="46" t="s">
        <v>136</v>
      </c>
      <c r="G71" s="46"/>
      <c r="H71" s="150">
        <v>16457</v>
      </c>
      <c r="I71" s="150">
        <v>10151</v>
      </c>
      <c r="J71" s="150">
        <v>10428</v>
      </c>
      <c r="K71" s="150">
        <f>K57</f>
        <v>11740</v>
      </c>
    </row>
    <row r="72" spans="6:11" s="43" customFormat="1" ht="21" hidden="1" thickBot="1" x14ac:dyDescent="0.25">
      <c r="F72" s="46" t="s">
        <v>143</v>
      </c>
      <c r="G72" s="46"/>
      <c r="H72" s="533">
        <f>H70/H71</f>
        <v>13.837455186242936</v>
      </c>
      <c r="I72" s="533">
        <f>I70/I71</f>
        <v>17.600827504679341</v>
      </c>
      <c r="J72" s="533">
        <f>J70/J71</f>
        <v>19.762178749520523</v>
      </c>
      <c r="K72" s="533">
        <f>K70/K71</f>
        <v>19.250425894378193</v>
      </c>
    </row>
    <row r="73" spans="6:11" s="43" customFormat="1" ht="20.25" hidden="1" x14ac:dyDescent="0.2">
      <c r="F73" s="46"/>
      <c r="G73" s="46"/>
      <c r="H73" s="534"/>
      <c r="I73" s="534"/>
      <c r="J73" s="534"/>
      <c r="K73" s="534"/>
    </row>
    <row r="74" spans="6:11" s="43" customFormat="1" ht="20.25" hidden="1" x14ac:dyDescent="0.2">
      <c r="F74" s="535" t="s">
        <v>144</v>
      </c>
      <c r="G74" s="535"/>
      <c r="H74" s="42"/>
      <c r="I74" s="42"/>
      <c r="J74" s="153"/>
      <c r="K74" s="153"/>
    </row>
    <row r="75" spans="6:11" s="43" customFormat="1" ht="20.25" hidden="1" x14ac:dyDescent="0.2">
      <c r="F75" s="42" t="s">
        <v>145</v>
      </c>
      <c r="G75" s="42"/>
      <c r="H75" s="536">
        <f t="shared" ref="H75:J75" si="0">H28+(H28*0.21)+H32+H34</f>
        <v>237890.76749999999</v>
      </c>
      <c r="I75" s="536">
        <f t="shared" si="0"/>
        <v>188101.25649999999</v>
      </c>
      <c r="J75" s="536">
        <f t="shared" si="0"/>
        <v>232210.04700000002</v>
      </c>
      <c r="K75" s="536">
        <f>K28+(K28*0.2)+K32+K34</f>
        <v>290400</v>
      </c>
    </row>
    <row r="76" spans="6:11" s="43" customFormat="1" ht="20.25" hidden="1" x14ac:dyDescent="0.2">
      <c r="F76" s="42" t="s">
        <v>146</v>
      </c>
      <c r="G76" s="42"/>
      <c r="H76" s="153">
        <f>H47-H75-H77</f>
        <v>103783.97250000012</v>
      </c>
      <c r="I76" s="153">
        <f>I47-I75-I77</f>
        <v>115005.71349999998</v>
      </c>
      <c r="J76" s="153">
        <f>J47-J75-J77</f>
        <v>130661.50709999993</v>
      </c>
      <c r="K76" s="153">
        <f>K47-K75-K77</f>
        <v>140533.38</v>
      </c>
    </row>
    <row r="77" spans="6:11" s="43" customFormat="1" ht="20.25" hidden="1" x14ac:dyDescent="0.2">
      <c r="F77" s="42" t="s">
        <v>147</v>
      </c>
      <c r="G77" s="42"/>
      <c r="H77" s="153">
        <f>H36+H37</f>
        <v>33344.68</v>
      </c>
      <c r="I77" s="153">
        <f>I36+I37</f>
        <v>41084</v>
      </c>
      <c r="J77" s="153">
        <f>J36+J37</f>
        <v>40932</v>
      </c>
      <c r="K77" s="153">
        <f>K36+K37</f>
        <v>41382</v>
      </c>
    </row>
    <row r="78" spans="6:11" s="43" customFormat="1" ht="21" hidden="1" thickBot="1" x14ac:dyDescent="0.25">
      <c r="F78" s="42" t="s">
        <v>148</v>
      </c>
      <c r="G78" s="42"/>
      <c r="H78" s="537">
        <f>SUM(H75:H77)</f>
        <v>375019.4200000001</v>
      </c>
      <c r="I78" s="537">
        <f>SUM(I75:I77)</f>
        <v>344190.97</v>
      </c>
      <c r="J78" s="537">
        <f>SUM(J75:J77)</f>
        <v>403803.55409999995</v>
      </c>
      <c r="K78" s="537">
        <f>SUM(K75:K77)</f>
        <v>472315.38</v>
      </c>
    </row>
    <row r="79" spans="6:11" s="43" customFormat="1" ht="20.25" hidden="1" x14ac:dyDescent="0.2">
      <c r="F79" s="42" t="s">
        <v>149</v>
      </c>
      <c r="G79" s="42"/>
      <c r="H79" s="538">
        <v>195138</v>
      </c>
      <c r="I79" s="538">
        <v>104281</v>
      </c>
      <c r="J79" s="539">
        <f>J63</f>
        <v>114885</v>
      </c>
      <c r="K79" s="539">
        <f>K63</f>
        <v>134000</v>
      </c>
    </row>
    <row r="80" spans="6:11" s="43" customFormat="1" ht="20.25" hidden="1" x14ac:dyDescent="0.2">
      <c r="F80" s="42" t="s">
        <v>150</v>
      </c>
      <c r="G80" s="42"/>
      <c r="H80" s="540">
        <f>H75/H79</f>
        <v>1.2190899132921316</v>
      </c>
      <c r="I80" s="540">
        <f>I75/I79</f>
        <v>1.8037922200592629</v>
      </c>
      <c r="J80" s="540">
        <f>J75/J79</f>
        <v>2.0212390390390391</v>
      </c>
      <c r="K80" s="540">
        <f>K75/K79</f>
        <v>2.1671641791044776</v>
      </c>
    </row>
    <row r="81" spans="6:11" s="43" customFormat="1" ht="20.25" hidden="1" x14ac:dyDescent="0.2">
      <c r="F81" s="42" t="s">
        <v>151</v>
      </c>
      <c r="G81" s="42"/>
      <c r="H81" s="540">
        <f>H76/H57</f>
        <v>6.3063725162544886</v>
      </c>
      <c r="I81" s="540">
        <f>I76/I57</f>
        <v>11.329495960989064</v>
      </c>
      <c r="J81" s="540">
        <f>J76/J57</f>
        <v>12.529872180667427</v>
      </c>
      <c r="K81" s="540">
        <f>K76/K57</f>
        <v>11.970475298126065</v>
      </c>
    </row>
    <row r="82" spans="6:11" s="43" customFormat="1" ht="20.25" hidden="1" x14ac:dyDescent="0.2">
      <c r="F82" s="42"/>
      <c r="G82" s="42"/>
      <c r="H82" s="42"/>
      <c r="I82" s="540"/>
      <c r="J82" s="540"/>
      <c r="K82" s="540"/>
    </row>
    <row r="83" spans="6:11" s="43" customFormat="1" ht="20.25" hidden="1" x14ac:dyDescent="0.2">
      <c r="H83" s="46"/>
      <c r="I83" s="46"/>
      <c r="J83" s="150"/>
      <c r="K83" s="150"/>
    </row>
    <row r="84" spans="6:11" s="43" customFormat="1" ht="20.25" hidden="1" x14ac:dyDescent="0.2">
      <c r="F84" s="42" t="s">
        <v>145</v>
      </c>
      <c r="G84" s="42"/>
      <c r="H84" s="153">
        <f>H24-H85-H86</f>
        <v>238182.86749999985</v>
      </c>
      <c r="I84" s="153">
        <f>I22-I85-I86</f>
        <v>180025.0165</v>
      </c>
      <c r="J84" s="153">
        <f>J22-J85-J86</f>
        <v>199028.67290000001</v>
      </c>
      <c r="K84" s="153">
        <f>K22-K85-K86</f>
        <v>185467.83999999997</v>
      </c>
    </row>
    <row r="85" spans="6:11" s="43" customFormat="1" ht="20.25" hidden="1" x14ac:dyDescent="0.2">
      <c r="F85" s="42" t="s">
        <v>146</v>
      </c>
      <c r="G85" s="42"/>
      <c r="H85" s="538">
        <f>H76</f>
        <v>103783.97250000012</v>
      </c>
      <c r="I85" s="538">
        <f>I76</f>
        <v>115005.71349999998</v>
      </c>
      <c r="J85" s="153">
        <f>J76</f>
        <v>130661.50709999993</v>
      </c>
      <c r="K85" s="153">
        <f>K76</f>
        <v>140533.38</v>
      </c>
    </row>
    <row r="86" spans="6:11" s="43" customFormat="1" ht="20.25" hidden="1" x14ac:dyDescent="0.2">
      <c r="F86" s="42" t="s">
        <v>152</v>
      </c>
      <c r="G86" s="42"/>
      <c r="H86" s="538">
        <f>H18</f>
        <v>9315</v>
      </c>
      <c r="I86" s="538">
        <f>I18</f>
        <v>9315</v>
      </c>
      <c r="J86" s="153">
        <f>J37</f>
        <v>10548</v>
      </c>
      <c r="K86" s="153">
        <f>K37</f>
        <v>10548</v>
      </c>
    </row>
    <row r="87" spans="6:11" s="50" customFormat="1" ht="27" hidden="1" thickBot="1" x14ac:dyDescent="0.25">
      <c r="F87" s="42" t="s">
        <v>153</v>
      </c>
      <c r="G87" s="42"/>
      <c r="H87" s="487">
        <f>SUM(H84:H86)</f>
        <v>351281.83999999997</v>
      </c>
      <c r="I87" s="487">
        <f>SUM(I84:I86)</f>
        <v>304345.73</v>
      </c>
      <c r="J87" s="487">
        <f>SUM(J84:J86)</f>
        <v>340238.17999999993</v>
      </c>
      <c r="K87" s="487">
        <f>SUM(K84:K86)</f>
        <v>336549.22</v>
      </c>
    </row>
    <row r="88" spans="6:11" s="50" customFormat="1" ht="26.25" hidden="1" x14ac:dyDescent="0.2">
      <c r="F88" s="42" t="s">
        <v>154</v>
      </c>
      <c r="G88" s="42"/>
      <c r="H88" s="153">
        <f>H67</f>
        <v>16457</v>
      </c>
      <c r="I88" s="153">
        <f>I67</f>
        <v>10151</v>
      </c>
      <c r="J88" s="153">
        <f>J57</f>
        <v>10428</v>
      </c>
      <c r="K88" s="153">
        <v>11740</v>
      </c>
    </row>
    <row r="89" spans="6:11" ht="20.25" hidden="1" x14ac:dyDescent="0.3">
      <c r="F89" s="42" t="s">
        <v>155</v>
      </c>
      <c r="G89" s="42"/>
      <c r="H89" s="542">
        <f>H84/H80/H68</f>
        <v>16477.207130148494</v>
      </c>
      <c r="I89" s="542">
        <f>I84/I80/I68</f>
        <v>9715.1607410527849</v>
      </c>
      <c r="J89" s="542">
        <f>J84/J80/J68</f>
        <v>8937.9035395535666</v>
      </c>
      <c r="K89" s="542">
        <f>K84/K80/K68</f>
        <v>7497.9078567493098</v>
      </c>
    </row>
    <row r="90" spans="6:11" ht="20.25" hidden="1" x14ac:dyDescent="0.3">
      <c r="F90" s="42" t="s">
        <v>156</v>
      </c>
      <c r="G90" s="42"/>
      <c r="H90" s="543">
        <f>H89-H88</f>
        <v>20.207130148493889</v>
      </c>
      <c r="I90" s="543">
        <f>I89-I88</f>
        <v>-435.83925894721506</v>
      </c>
      <c r="J90" s="543">
        <f>J89-J88</f>
        <v>-1490.0964604464334</v>
      </c>
      <c r="K90" s="543">
        <f>K89-K88</f>
        <v>-4242.0921432506902</v>
      </c>
    </row>
    <row r="91" spans="6:11" ht="20.25" hidden="1" x14ac:dyDescent="0.3">
      <c r="F91" s="42" t="s">
        <v>150</v>
      </c>
      <c r="G91" s="42"/>
      <c r="H91" s="544">
        <f>H84/(H89*H68)</f>
        <v>1.2190899132921318</v>
      </c>
      <c r="I91" s="544">
        <f>I84/(I89*I68)</f>
        <v>1.8037922200592629</v>
      </c>
      <c r="J91" s="544">
        <f>J84/(J89*J68)</f>
        <v>2.0212390390390391</v>
      </c>
      <c r="K91" s="544">
        <f>K84/(K89*K68)</f>
        <v>2.1671641791044776</v>
      </c>
    </row>
    <row r="92" spans="6:11" ht="20.25" hidden="1" x14ac:dyDescent="0.3">
      <c r="F92" s="42" t="s">
        <v>151</v>
      </c>
      <c r="G92" s="42"/>
      <c r="H92" s="544">
        <f>H85/H89</f>
        <v>6.2986385787495296</v>
      </c>
      <c r="I92" s="544">
        <f>I85/I89</f>
        <v>11.837757147344673</v>
      </c>
      <c r="J92" s="544">
        <f>J85/J89</f>
        <v>14.618809267942297</v>
      </c>
      <c r="K92" s="544">
        <f>K85/K89</f>
        <v>18.743012408921192</v>
      </c>
    </row>
    <row r="93" spans="6:11" ht="20.25" hidden="1" x14ac:dyDescent="0.3">
      <c r="F93" s="42"/>
      <c r="G93" s="42"/>
      <c r="H93" s="42"/>
      <c r="I93" s="544"/>
      <c r="J93" s="544"/>
      <c r="K93" s="544"/>
    </row>
    <row r="94" spans="6:11" ht="20.25" hidden="1" x14ac:dyDescent="0.3">
      <c r="J94" s="183"/>
      <c r="K94" s="183"/>
    </row>
    <row r="95" spans="6:11" ht="20.25" hidden="1" x14ac:dyDescent="0.3">
      <c r="J95" s="183"/>
      <c r="K95" s="183"/>
    </row>
    <row r="96" spans="6:11" ht="20.25" hidden="1" x14ac:dyDescent="0.3">
      <c r="F96" s="535" t="s">
        <v>157</v>
      </c>
      <c r="G96" s="535"/>
      <c r="J96" s="183"/>
      <c r="K96" s="183"/>
    </row>
    <row r="97" spans="6:11" ht="20.25" hidden="1" x14ac:dyDescent="0.25">
      <c r="F97" s="42" t="s">
        <v>145</v>
      </c>
      <c r="G97" s="42"/>
      <c r="H97" s="536">
        <f t="shared" ref="H97:J99" si="1">H75</f>
        <v>237890.76749999999</v>
      </c>
      <c r="I97" s="536">
        <f t="shared" si="1"/>
        <v>188101.25649999999</v>
      </c>
      <c r="J97" s="536">
        <f t="shared" si="1"/>
        <v>232210.04700000002</v>
      </c>
      <c r="K97" s="536">
        <f>K75</f>
        <v>290400</v>
      </c>
    </row>
    <row r="98" spans="6:11" ht="20.25" hidden="1" x14ac:dyDescent="0.25">
      <c r="F98" s="42" t="s">
        <v>146</v>
      </c>
      <c r="G98" s="42"/>
      <c r="H98" s="153">
        <f t="shared" si="1"/>
        <v>103783.97250000012</v>
      </c>
      <c r="I98" s="153">
        <f t="shared" si="1"/>
        <v>115005.71349999998</v>
      </c>
      <c r="J98" s="153">
        <f t="shared" si="1"/>
        <v>130661.50709999993</v>
      </c>
      <c r="K98" s="153">
        <f>K76</f>
        <v>140533.38</v>
      </c>
    </row>
    <row r="99" spans="6:11" ht="20.25" hidden="1" x14ac:dyDescent="0.25">
      <c r="F99" s="42" t="s">
        <v>147</v>
      </c>
      <c r="G99" s="42"/>
      <c r="H99" s="153">
        <f t="shared" si="1"/>
        <v>33344.68</v>
      </c>
      <c r="I99" s="153">
        <f t="shared" si="1"/>
        <v>41084</v>
      </c>
      <c r="J99" s="153">
        <f t="shared" si="1"/>
        <v>40932</v>
      </c>
      <c r="K99" s="153">
        <f>K77</f>
        <v>41382</v>
      </c>
    </row>
    <row r="100" spans="6:11" ht="21" hidden="1" thickBot="1" x14ac:dyDescent="0.3">
      <c r="F100" s="42" t="s">
        <v>148</v>
      </c>
      <c r="G100" s="42"/>
      <c r="H100" s="537">
        <f>SUM(H97:H99)</f>
        <v>375019.4200000001</v>
      </c>
      <c r="I100" s="537">
        <f>SUM(I97:I99)</f>
        <v>344190.97</v>
      </c>
      <c r="J100" s="537">
        <f>SUM(J97:J99)</f>
        <v>403803.55409999995</v>
      </c>
      <c r="K100" s="537">
        <f>SUM(K97:K99)</f>
        <v>472315.38</v>
      </c>
    </row>
    <row r="101" spans="6:11" ht="20.25" hidden="1" x14ac:dyDescent="0.25">
      <c r="F101" s="42" t="s">
        <v>158</v>
      </c>
      <c r="G101" s="42"/>
      <c r="H101" s="153">
        <f>H54</f>
        <v>227723</v>
      </c>
      <c r="I101" s="153">
        <f t="shared" ref="I101:K101" si="2">I54</f>
        <v>178666</v>
      </c>
      <c r="J101" s="153">
        <f t="shared" si="2"/>
        <v>206080</v>
      </c>
      <c r="K101" s="153">
        <f t="shared" si="2"/>
        <v>226000</v>
      </c>
    </row>
    <row r="102" spans="6:11" ht="20.25" hidden="1" x14ac:dyDescent="0.25">
      <c r="F102" s="42" t="s">
        <v>159</v>
      </c>
      <c r="G102" s="42"/>
      <c r="H102" s="540">
        <f>H97/H101</f>
        <v>1.0446497169807178</v>
      </c>
      <c r="I102" s="540">
        <f>I97/I101</f>
        <v>1.0528094685054794</v>
      </c>
      <c r="J102" s="540">
        <f>J97/J101</f>
        <v>1.1267956473214287</v>
      </c>
      <c r="K102" s="540">
        <f>K97/K101</f>
        <v>1.2849557522123893</v>
      </c>
    </row>
    <row r="103" spans="6:11" ht="20.25" hidden="1" x14ac:dyDescent="0.25">
      <c r="F103" s="42" t="s">
        <v>151</v>
      </c>
      <c r="G103" s="42"/>
      <c r="H103" s="540">
        <f t="shared" ref="H103:K103" si="3">H98/H57</f>
        <v>6.3063725162544886</v>
      </c>
      <c r="I103" s="540">
        <f t="shared" si="3"/>
        <v>11.329495960989064</v>
      </c>
      <c r="J103" s="540">
        <f t="shared" si="3"/>
        <v>12.529872180667427</v>
      </c>
      <c r="K103" s="540">
        <f t="shared" si="3"/>
        <v>11.970475298126065</v>
      </c>
    </row>
    <row r="104" spans="6:11" ht="20.25" hidden="1" x14ac:dyDescent="0.3">
      <c r="H104" s="183"/>
      <c r="I104" s="183"/>
      <c r="J104" s="183"/>
      <c r="K104" s="183"/>
    </row>
    <row r="105" spans="6:11" ht="20.25" hidden="1" x14ac:dyDescent="0.25">
      <c r="H105" s="150"/>
      <c r="I105" s="150"/>
      <c r="J105" s="150"/>
      <c r="K105" s="150"/>
    </row>
    <row r="106" spans="6:11" ht="20.25" hidden="1" x14ac:dyDescent="0.25">
      <c r="F106" s="42" t="s">
        <v>145</v>
      </c>
      <c r="G106" s="42"/>
      <c r="H106" s="153">
        <f>H24-H107-H108</f>
        <v>238182.86749999985</v>
      </c>
      <c r="I106" s="153">
        <f>I22-I107-I108</f>
        <v>180025.0165</v>
      </c>
      <c r="J106" s="153">
        <f>J22-J107-J108</f>
        <v>199028.67290000001</v>
      </c>
      <c r="K106" s="153">
        <f>K22-K107-K108</f>
        <v>185467.83999999997</v>
      </c>
    </row>
    <row r="107" spans="6:11" ht="20.25" hidden="1" x14ac:dyDescent="0.25">
      <c r="F107" s="42" t="s">
        <v>146</v>
      </c>
      <c r="G107" s="42"/>
      <c r="H107" s="153">
        <f t="shared" ref="H107:I107" si="4">H98</f>
        <v>103783.97250000012</v>
      </c>
      <c r="I107" s="153">
        <f t="shared" si="4"/>
        <v>115005.71349999998</v>
      </c>
      <c r="J107" s="153">
        <f>J98</f>
        <v>130661.50709999993</v>
      </c>
      <c r="K107" s="153">
        <f t="shared" ref="K107" si="5">K98</f>
        <v>140533.38</v>
      </c>
    </row>
    <row r="108" spans="6:11" ht="20.25" hidden="1" x14ac:dyDescent="0.25">
      <c r="F108" s="42" t="s">
        <v>38</v>
      </c>
      <c r="G108" s="42"/>
      <c r="H108" s="153">
        <f>H37</f>
        <v>9315</v>
      </c>
      <c r="I108" s="153">
        <f>I37</f>
        <v>9315</v>
      </c>
      <c r="J108" s="153">
        <f>J37</f>
        <v>10548</v>
      </c>
      <c r="K108" s="153">
        <f>K37</f>
        <v>10548</v>
      </c>
    </row>
    <row r="109" spans="6:11" ht="21" hidden="1" thickBot="1" x14ac:dyDescent="0.3">
      <c r="F109" s="42" t="s">
        <v>153</v>
      </c>
      <c r="G109" s="42"/>
      <c r="H109" s="487">
        <f>SUM(H106:H108)</f>
        <v>351281.83999999997</v>
      </c>
      <c r="I109" s="487">
        <f>SUM(I106:I108)</f>
        <v>304345.73</v>
      </c>
      <c r="J109" s="487">
        <f>SUM(J106:J108)</f>
        <v>340238.17999999993</v>
      </c>
      <c r="K109" s="487">
        <f>SUM(K106:K108)</f>
        <v>336549.22</v>
      </c>
    </row>
    <row r="110" spans="6:11" ht="20.25" hidden="1" x14ac:dyDescent="0.25">
      <c r="F110" s="42" t="s">
        <v>154</v>
      </c>
      <c r="G110" s="42"/>
      <c r="H110" s="153">
        <f>H88</f>
        <v>16457</v>
      </c>
      <c r="I110" s="153">
        <f>I88</f>
        <v>10151</v>
      </c>
      <c r="J110" s="153">
        <f>J88</f>
        <v>10428</v>
      </c>
      <c r="K110" s="153">
        <f>K88</f>
        <v>11740</v>
      </c>
    </row>
    <row r="111" spans="6:11" ht="20.25" hidden="1" x14ac:dyDescent="0.3">
      <c r="F111" s="42" t="s">
        <v>155</v>
      </c>
      <c r="G111" s="42"/>
      <c r="H111" s="542">
        <f t="shared" ref="H111:K111" si="6">H106/H102/H72</f>
        <v>16477.207130148494</v>
      </c>
      <c r="I111" s="542">
        <f t="shared" si="6"/>
        <v>9715.1607410527868</v>
      </c>
      <c r="J111" s="542">
        <f t="shared" si="6"/>
        <v>8937.9035395535648</v>
      </c>
      <c r="K111" s="542">
        <f t="shared" si="6"/>
        <v>7497.9078567493116</v>
      </c>
    </row>
    <row r="112" spans="6:11" ht="20.25" hidden="1" x14ac:dyDescent="0.3">
      <c r="F112" s="42" t="s">
        <v>156</v>
      </c>
      <c r="G112" s="42"/>
      <c r="H112" s="543">
        <f>H111-H110</f>
        <v>20.207130148493889</v>
      </c>
      <c r="I112" s="543">
        <f>I111-I110</f>
        <v>-435.83925894721324</v>
      </c>
      <c r="J112" s="543">
        <f>J111-J110</f>
        <v>-1490.0964604464352</v>
      </c>
      <c r="K112" s="543">
        <f>K111-K110</f>
        <v>-4242.0921432506884</v>
      </c>
    </row>
    <row r="113" spans="6:11" ht="20.25" hidden="1" x14ac:dyDescent="0.3">
      <c r="F113" s="42" t="s">
        <v>159</v>
      </c>
      <c r="G113" s="42"/>
      <c r="H113" s="544">
        <f>H106/(H111*H72)</f>
        <v>1.0446497169807178</v>
      </c>
      <c r="I113" s="544">
        <f t="shared" ref="I113:K113" si="7">I106/(I111*I72)</f>
        <v>1.0528094685054794</v>
      </c>
      <c r="J113" s="544">
        <f t="shared" si="7"/>
        <v>1.1267956473214289</v>
      </c>
      <c r="K113" s="544">
        <f t="shared" si="7"/>
        <v>1.2849557522123893</v>
      </c>
    </row>
    <row r="114" spans="6:11" ht="20.25" hidden="1" x14ac:dyDescent="0.3">
      <c r="F114" s="42" t="s">
        <v>160</v>
      </c>
      <c r="G114" s="42"/>
      <c r="H114" s="544">
        <f>H107/H111</f>
        <v>6.2986385787495296</v>
      </c>
      <c r="I114" s="544">
        <f>I107/I111</f>
        <v>11.837757147344671</v>
      </c>
      <c r="J114" s="544">
        <f>J107/J111</f>
        <v>14.618809267942298</v>
      </c>
      <c r="K114" s="544">
        <f>K107/K111</f>
        <v>18.743012408921185</v>
      </c>
    </row>
    <row r="115" spans="6:11" ht="20.25" x14ac:dyDescent="0.25">
      <c r="F115" s="42" t="s">
        <v>161</v>
      </c>
      <c r="G115" s="150">
        <f>G28+G32+G34+G28*0.21</f>
        <v>216908.68</v>
      </c>
      <c r="H115" s="150">
        <f t="shared" ref="H115:K115" si="8">H28+H32+H34+H28*0.21</f>
        <v>237890.76750000002</v>
      </c>
      <c r="I115" s="150">
        <f t="shared" si="8"/>
        <v>188101.25650000002</v>
      </c>
      <c r="J115" s="150">
        <f t="shared" si="8"/>
        <v>232210.04700000002</v>
      </c>
      <c r="K115" s="150">
        <f t="shared" si="8"/>
        <v>292430</v>
      </c>
    </row>
    <row r="116" spans="6:11" ht="20.25" x14ac:dyDescent="0.25">
      <c r="F116" s="42" t="s">
        <v>146</v>
      </c>
      <c r="G116" s="150">
        <f>G47-G115-G117</f>
        <v>105684.32</v>
      </c>
      <c r="H116" s="150">
        <f t="shared" ref="H116:K116" si="9">H47-H115-H117</f>
        <v>113098.97250000009</v>
      </c>
      <c r="I116" s="150">
        <f t="shared" si="9"/>
        <v>124320.71349999995</v>
      </c>
      <c r="J116" s="150">
        <f t="shared" si="9"/>
        <v>141209.50709999993</v>
      </c>
      <c r="K116" s="150">
        <f t="shared" si="9"/>
        <v>149051.38</v>
      </c>
    </row>
    <row r="117" spans="6:11" ht="20.25" x14ac:dyDescent="0.25">
      <c r="F117" s="42" t="s">
        <v>58</v>
      </c>
      <c r="G117" s="150">
        <f>G36</f>
        <v>25080</v>
      </c>
      <c r="H117" s="150">
        <f t="shared" ref="H117:K117" si="10">H36</f>
        <v>24029.68</v>
      </c>
      <c r="I117" s="150">
        <f t="shared" si="10"/>
        <v>31769</v>
      </c>
      <c r="J117" s="150">
        <f t="shared" si="10"/>
        <v>30384</v>
      </c>
      <c r="K117" s="150">
        <f t="shared" si="10"/>
        <v>30834</v>
      </c>
    </row>
  </sheetData>
  <mergeCells count="8">
    <mergeCell ref="D35:F35"/>
    <mergeCell ref="D52:F52"/>
    <mergeCell ref="D28:F28"/>
    <mergeCell ref="D29:F29"/>
    <mergeCell ref="D30:F30"/>
    <mergeCell ref="D32:F32"/>
    <mergeCell ref="D33:F33"/>
    <mergeCell ref="D34:F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F283-F7AD-43EB-805C-C06A10813205}">
  <sheetPr>
    <tabColor rgb="FFFF0000"/>
  </sheetPr>
  <dimension ref="A1:M87"/>
  <sheetViews>
    <sheetView topLeftCell="A57" workbookViewId="0">
      <selection activeCell="F95" sqref="F95"/>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7.125" style="33" customWidth="1"/>
    <col min="7" max="7" width="22.375" customWidth="1"/>
    <col min="8" max="8" width="1.75" customWidth="1"/>
    <col min="9" max="9" width="22.25" customWidth="1"/>
    <col min="10" max="10" width="10" bestFit="1" customWidth="1"/>
    <col min="11" max="11" width="9" style="212"/>
    <col min="12" max="12" width="11.5" style="123" bestFit="1" customWidth="1"/>
    <col min="13" max="13" width="9" style="212"/>
    <col min="246" max="246" width="2.875" customWidth="1"/>
    <col min="247" max="247" width="8.125" customWidth="1"/>
    <col min="248" max="248" width="8.75" customWidth="1"/>
    <col min="249" max="249" width="11" customWidth="1"/>
    <col min="250" max="250" width="2.875" customWidth="1"/>
    <col min="251" max="251" width="77.625" customWidth="1"/>
    <col min="252" max="252" width="20.875" customWidth="1"/>
    <col min="502" max="502" width="2.875" customWidth="1"/>
    <col min="503" max="503" width="8.125" customWidth="1"/>
    <col min="504" max="504" width="8.75" customWidth="1"/>
    <col min="505" max="505" width="11" customWidth="1"/>
    <col min="506" max="506" width="2.875" customWidth="1"/>
    <col min="507" max="507" width="77.625" customWidth="1"/>
    <col min="508" max="508" width="20.875" customWidth="1"/>
    <col min="758" max="758" width="2.875" customWidth="1"/>
    <col min="759" max="759" width="8.125" customWidth="1"/>
    <col min="760" max="760" width="8.75" customWidth="1"/>
    <col min="761" max="761" width="11" customWidth="1"/>
    <col min="762" max="762" width="2.875" customWidth="1"/>
    <col min="763" max="763" width="77.625" customWidth="1"/>
    <col min="764" max="764" width="20.875" customWidth="1"/>
    <col min="1014" max="1014" width="2.875" customWidth="1"/>
    <col min="1015" max="1015" width="8.125" customWidth="1"/>
    <col min="1016" max="1016" width="8.75" customWidth="1"/>
    <col min="1017" max="1017" width="11" customWidth="1"/>
    <col min="1018" max="1018" width="2.875" customWidth="1"/>
    <col min="1019" max="1019" width="77.625" customWidth="1"/>
    <col min="1020" max="1020" width="20.875" customWidth="1"/>
    <col min="1270" max="1270" width="2.875" customWidth="1"/>
    <col min="1271" max="1271" width="8.125" customWidth="1"/>
    <col min="1272" max="1272" width="8.75" customWidth="1"/>
    <col min="1273" max="1273" width="11" customWidth="1"/>
    <col min="1274" max="1274" width="2.875" customWidth="1"/>
    <col min="1275" max="1275" width="77.625" customWidth="1"/>
    <col min="1276" max="1276" width="20.875" customWidth="1"/>
    <col min="1526" max="1526" width="2.875" customWidth="1"/>
    <col min="1527" max="1527" width="8.125" customWidth="1"/>
    <col min="1528" max="1528" width="8.75" customWidth="1"/>
    <col min="1529" max="1529" width="11" customWidth="1"/>
    <col min="1530" max="1530" width="2.875" customWidth="1"/>
    <col min="1531" max="1531" width="77.625" customWidth="1"/>
    <col min="1532" max="1532" width="20.875" customWidth="1"/>
    <col min="1782" max="1782" width="2.875" customWidth="1"/>
    <col min="1783" max="1783" width="8.125" customWidth="1"/>
    <col min="1784" max="1784" width="8.75" customWidth="1"/>
    <col min="1785" max="1785" width="11" customWidth="1"/>
    <col min="1786" max="1786" width="2.875" customWidth="1"/>
    <col min="1787" max="1787" width="77.625" customWidth="1"/>
    <col min="1788" max="1788" width="20.875" customWidth="1"/>
    <col min="2038" max="2038" width="2.875" customWidth="1"/>
    <col min="2039" max="2039" width="8.125" customWidth="1"/>
    <col min="2040" max="2040" width="8.75" customWidth="1"/>
    <col min="2041" max="2041" width="11" customWidth="1"/>
    <col min="2042" max="2042" width="2.875" customWidth="1"/>
    <col min="2043" max="2043" width="77.625" customWidth="1"/>
    <col min="2044" max="2044" width="20.875" customWidth="1"/>
    <col min="2294" max="2294" width="2.875" customWidth="1"/>
    <col min="2295" max="2295" width="8.125" customWidth="1"/>
    <col min="2296" max="2296" width="8.75" customWidth="1"/>
    <col min="2297" max="2297" width="11" customWidth="1"/>
    <col min="2298" max="2298" width="2.875" customWidth="1"/>
    <col min="2299" max="2299" width="77.625" customWidth="1"/>
    <col min="2300" max="2300" width="20.875" customWidth="1"/>
    <col min="2550" max="2550" width="2.875" customWidth="1"/>
    <col min="2551" max="2551" width="8.125" customWidth="1"/>
    <col min="2552" max="2552" width="8.75" customWidth="1"/>
    <col min="2553" max="2553" width="11" customWidth="1"/>
    <col min="2554" max="2554" width="2.875" customWidth="1"/>
    <col min="2555" max="2555" width="77.625" customWidth="1"/>
    <col min="2556" max="2556" width="20.875" customWidth="1"/>
    <col min="2806" max="2806" width="2.875" customWidth="1"/>
    <col min="2807" max="2807" width="8.125" customWidth="1"/>
    <col min="2808" max="2808" width="8.75" customWidth="1"/>
    <col min="2809" max="2809" width="11" customWidth="1"/>
    <col min="2810" max="2810" width="2.875" customWidth="1"/>
    <col min="2811" max="2811" width="77.625" customWidth="1"/>
    <col min="2812" max="2812" width="20.875" customWidth="1"/>
    <col min="3062" max="3062" width="2.875" customWidth="1"/>
    <col min="3063" max="3063" width="8.125" customWidth="1"/>
    <col min="3064" max="3064" width="8.75" customWidth="1"/>
    <col min="3065" max="3065" width="11" customWidth="1"/>
    <col min="3066" max="3066" width="2.875" customWidth="1"/>
    <col min="3067" max="3067" width="77.625" customWidth="1"/>
    <col min="3068" max="3068" width="20.875" customWidth="1"/>
    <col min="3318" max="3318" width="2.875" customWidth="1"/>
    <col min="3319" max="3319" width="8.125" customWidth="1"/>
    <col min="3320" max="3320" width="8.75" customWidth="1"/>
    <col min="3321" max="3321" width="11" customWidth="1"/>
    <col min="3322" max="3322" width="2.875" customWidth="1"/>
    <col min="3323" max="3323" width="77.625" customWidth="1"/>
    <col min="3324" max="3324" width="20.875" customWidth="1"/>
    <col min="3574" max="3574" width="2.875" customWidth="1"/>
    <col min="3575" max="3575" width="8.125" customWidth="1"/>
    <col min="3576" max="3576" width="8.75" customWidth="1"/>
    <col min="3577" max="3577" width="11" customWidth="1"/>
    <col min="3578" max="3578" width="2.875" customWidth="1"/>
    <col min="3579" max="3579" width="77.625" customWidth="1"/>
    <col min="3580" max="3580" width="20.875" customWidth="1"/>
    <col min="3830" max="3830" width="2.875" customWidth="1"/>
    <col min="3831" max="3831" width="8.125" customWidth="1"/>
    <col min="3832" max="3832" width="8.75" customWidth="1"/>
    <col min="3833" max="3833" width="11" customWidth="1"/>
    <col min="3834" max="3834" width="2.875" customWidth="1"/>
    <col min="3835" max="3835" width="77.625" customWidth="1"/>
    <col min="3836" max="3836" width="20.875" customWidth="1"/>
    <col min="4086" max="4086" width="2.875" customWidth="1"/>
    <col min="4087" max="4087" width="8.125" customWidth="1"/>
    <col min="4088" max="4088" width="8.75" customWidth="1"/>
    <col min="4089" max="4089" width="11" customWidth="1"/>
    <col min="4090" max="4090" width="2.875" customWidth="1"/>
    <col min="4091" max="4091" width="77.625" customWidth="1"/>
    <col min="4092" max="4092" width="20.875" customWidth="1"/>
    <col min="4342" max="4342" width="2.875" customWidth="1"/>
    <col min="4343" max="4343" width="8.125" customWidth="1"/>
    <col min="4344" max="4344" width="8.75" customWidth="1"/>
    <col min="4345" max="4345" width="11" customWidth="1"/>
    <col min="4346" max="4346" width="2.875" customWidth="1"/>
    <col min="4347" max="4347" width="77.625" customWidth="1"/>
    <col min="4348" max="4348" width="20.875" customWidth="1"/>
    <col min="4598" max="4598" width="2.875" customWidth="1"/>
    <col min="4599" max="4599" width="8.125" customWidth="1"/>
    <col min="4600" max="4600" width="8.75" customWidth="1"/>
    <col min="4601" max="4601" width="11" customWidth="1"/>
    <col min="4602" max="4602" width="2.875" customWidth="1"/>
    <col min="4603" max="4603" width="77.625" customWidth="1"/>
    <col min="4604" max="4604" width="20.875" customWidth="1"/>
    <col min="4854" max="4854" width="2.875" customWidth="1"/>
    <col min="4855" max="4855" width="8.125" customWidth="1"/>
    <col min="4856" max="4856" width="8.75" customWidth="1"/>
    <col min="4857" max="4857" width="11" customWidth="1"/>
    <col min="4858" max="4858" width="2.875" customWidth="1"/>
    <col min="4859" max="4859" width="77.625" customWidth="1"/>
    <col min="4860" max="4860" width="20.875" customWidth="1"/>
    <col min="5110" max="5110" width="2.875" customWidth="1"/>
    <col min="5111" max="5111" width="8.125" customWidth="1"/>
    <col min="5112" max="5112" width="8.75" customWidth="1"/>
    <col min="5113" max="5113" width="11" customWidth="1"/>
    <col min="5114" max="5114" width="2.875" customWidth="1"/>
    <col min="5115" max="5115" width="77.625" customWidth="1"/>
    <col min="5116" max="5116" width="20.875" customWidth="1"/>
    <col min="5366" max="5366" width="2.875" customWidth="1"/>
    <col min="5367" max="5367" width="8.125" customWidth="1"/>
    <col min="5368" max="5368" width="8.75" customWidth="1"/>
    <col min="5369" max="5369" width="11" customWidth="1"/>
    <col min="5370" max="5370" width="2.875" customWidth="1"/>
    <col min="5371" max="5371" width="77.625" customWidth="1"/>
    <col min="5372" max="5372" width="20.875" customWidth="1"/>
    <col min="5622" max="5622" width="2.875" customWidth="1"/>
    <col min="5623" max="5623" width="8.125" customWidth="1"/>
    <col min="5624" max="5624" width="8.75" customWidth="1"/>
    <col min="5625" max="5625" width="11" customWidth="1"/>
    <col min="5626" max="5626" width="2.875" customWidth="1"/>
    <col min="5627" max="5627" width="77.625" customWidth="1"/>
    <col min="5628" max="5628" width="20.875" customWidth="1"/>
    <col min="5878" max="5878" width="2.875" customWidth="1"/>
    <col min="5879" max="5879" width="8.125" customWidth="1"/>
    <col min="5880" max="5880" width="8.75" customWidth="1"/>
    <col min="5881" max="5881" width="11" customWidth="1"/>
    <col min="5882" max="5882" width="2.875" customWidth="1"/>
    <col min="5883" max="5883" width="77.625" customWidth="1"/>
    <col min="5884" max="5884" width="20.875" customWidth="1"/>
    <col min="6134" max="6134" width="2.875" customWidth="1"/>
    <col min="6135" max="6135" width="8.125" customWidth="1"/>
    <col min="6136" max="6136" width="8.75" customWidth="1"/>
    <col min="6137" max="6137" width="11" customWidth="1"/>
    <col min="6138" max="6138" width="2.875" customWidth="1"/>
    <col min="6139" max="6139" width="77.625" customWidth="1"/>
    <col min="6140" max="6140" width="20.875" customWidth="1"/>
    <col min="6390" max="6390" width="2.875" customWidth="1"/>
    <col min="6391" max="6391" width="8.125" customWidth="1"/>
    <col min="6392" max="6392" width="8.75" customWidth="1"/>
    <col min="6393" max="6393" width="11" customWidth="1"/>
    <col min="6394" max="6394" width="2.875" customWidth="1"/>
    <col min="6395" max="6395" width="77.625" customWidth="1"/>
    <col min="6396" max="6396" width="20.875" customWidth="1"/>
    <col min="6646" max="6646" width="2.875" customWidth="1"/>
    <col min="6647" max="6647" width="8.125" customWidth="1"/>
    <col min="6648" max="6648" width="8.75" customWidth="1"/>
    <col min="6649" max="6649" width="11" customWidth="1"/>
    <col min="6650" max="6650" width="2.875" customWidth="1"/>
    <col min="6651" max="6651" width="77.625" customWidth="1"/>
    <col min="6652" max="6652" width="20.875" customWidth="1"/>
    <col min="6902" max="6902" width="2.875" customWidth="1"/>
    <col min="6903" max="6903" width="8.125" customWidth="1"/>
    <col min="6904" max="6904" width="8.75" customWidth="1"/>
    <col min="6905" max="6905" width="11" customWidth="1"/>
    <col min="6906" max="6906" width="2.875" customWidth="1"/>
    <col min="6907" max="6907" width="77.625" customWidth="1"/>
    <col min="6908" max="6908" width="20.875" customWidth="1"/>
    <col min="7158" max="7158" width="2.875" customWidth="1"/>
    <col min="7159" max="7159" width="8.125" customWidth="1"/>
    <col min="7160" max="7160" width="8.75" customWidth="1"/>
    <col min="7161" max="7161" width="11" customWidth="1"/>
    <col min="7162" max="7162" width="2.875" customWidth="1"/>
    <col min="7163" max="7163" width="77.625" customWidth="1"/>
    <col min="7164" max="7164" width="20.875" customWidth="1"/>
    <col min="7414" max="7414" width="2.875" customWidth="1"/>
    <col min="7415" max="7415" width="8.125" customWidth="1"/>
    <col min="7416" max="7416" width="8.75" customWidth="1"/>
    <col min="7417" max="7417" width="11" customWidth="1"/>
    <col min="7418" max="7418" width="2.875" customWidth="1"/>
    <col min="7419" max="7419" width="77.625" customWidth="1"/>
    <col min="7420" max="7420" width="20.875" customWidth="1"/>
    <col min="7670" max="7670" width="2.875" customWidth="1"/>
    <col min="7671" max="7671" width="8.125" customWidth="1"/>
    <col min="7672" max="7672" width="8.75" customWidth="1"/>
    <col min="7673" max="7673" width="11" customWidth="1"/>
    <col min="7674" max="7674" width="2.875" customWidth="1"/>
    <col min="7675" max="7675" width="77.625" customWidth="1"/>
    <col min="7676" max="7676" width="20.875" customWidth="1"/>
    <col min="7926" max="7926" width="2.875" customWidth="1"/>
    <col min="7927" max="7927" width="8.125" customWidth="1"/>
    <col min="7928" max="7928" width="8.75" customWidth="1"/>
    <col min="7929" max="7929" width="11" customWidth="1"/>
    <col min="7930" max="7930" width="2.875" customWidth="1"/>
    <col min="7931" max="7931" width="77.625" customWidth="1"/>
    <col min="7932" max="7932" width="20.875" customWidth="1"/>
    <col min="8182" max="8182" width="2.875" customWidth="1"/>
    <col min="8183" max="8183" width="8.125" customWidth="1"/>
    <col min="8184" max="8184" width="8.75" customWidth="1"/>
    <col min="8185" max="8185" width="11" customWidth="1"/>
    <col min="8186" max="8186" width="2.875" customWidth="1"/>
    <col min="8187" max="8187" width="77.625" customWidth="1"/>
    <col min="8188" max="8188" width="20.875" customWidth="1"/>
    <col min="8438" max="8438" width="2.875" customWidth="1"/>
    <col min="8439" max="8439" width="8.125" customWidth="1"/>
    <col min="8440" max="8440" width="8.75" customWidth="1"/>
    <col min="8441" max="8441" width="11" customWidth="1"/>
    <col min="8442" max="8442" width="2.875" customWidth="1"/>
    <col min="8443" max="8443" width="77.625" customWidth="1"/>
    <col min="8444" max="8444" width="20.875" customWidth="1"/>
    <col min="8694" max="8694" width="2.875" customWidth="1"/>
    <col min="8695" max="8695" width="8.125" customWidth="1"/>
    <col min="8696" max="8696" width="8.75" customWidth="1"/>
    <col min="8697" max="8697" width="11" customWidth="1"/>
    <col min="8698" max="8698" width="2.875" customWidth="1"/>
    <col min="8699" max="8699" width="77.625" customWidth="1"/>
    <col min="8700" max="8700" width="20.875" customWidth="1"/>
    <col min="8950" max="8950" width="2.875" customWidth="1"/>
    <col min="8951" max="8951" width="8.125" customWidth="1"/>
    <col min="8952" max="8952" width="8.75" customWidth="1"/>
    <col min="8953" max="8953" width="11" customWidth="1"/>
    <col min="8954" max="8954" width="2.875" customWidth="1"/>
    <col min="8955" max="8955" width="77.625" customWidth="1"/>
    <col min="8956" max="8956" width="20.875" customWidth="1"/>
    <col min="9206" max="9206" width="2.875" customWidth="1"/>
    <col min="9207" max="9207" width="8.125" customWidth="1"/>
    <col min="9208" max="9208" width="8.75" customWidth="1"/>
    <col min="9209" max="9209" width="11" customWidth="1"/>
    <col min="9210" max="9210" width="2.875" customWidth="1"/>
    <col min="9211" max="9211" width="77.625" customWidth="1"/>
    <col min="9212" max="9212" width="20.875" customWidth="1"/>
    <col min="9462" max="9462" width="2.875" customWidth="1"/>
    <col min="9463" max="9463" width="8.125" customWidth="1"/>
    <col min="9464" max="9464" width="8.75" customWidth="1"/>
    <col min="9465" max="9465" width="11" customWidth="1"/>
    <col min="9466" max="9466" width="2.875" customWidth="1"/>
    <col min="9467" max="9467" width="77.625" customWidth="1"/>
    <col min="9468" max="9468" width="20.875" customWidth="1"/>
    <col min="9718" max="9718" width="2.875" customWidth="1"/>
    <col min="9719" max="9719" width="8.125" customWidth="1"/>
    <col min="9720" max="9720" width="8.75" customWidth="1"/>
    <col min="9721" max="9721" width="11" customWidth="1"/>
    <col min="9722" max="9722" width="2.875" customWidth="1"/>
    <col min="9723" max="9723" width="77.625" customWidth="1"/>
    <col min="9724" max="9724" width="20.875" customWidth="1"/>
    <col min="9974" max="9974" width="2.875" customWidth="1"/>
    <col min="9975" max="9975" width="8.125" customWidth="1"/>
    <col min="9976" max="9976" width="8.75" customWidth="1"/>
    <col min="9977" max="9977" width="11" customWidth="1"/>
    <col min="9978" max="9978" width="2.875" customWidth="1"/>
    <col min="9979" max="9979" width="77.625" customWidth="1"/>
    <col min="9980" max="9980" width="20.875" customWidth="1"/>
    <col min="10230" max="10230" width="2.875" customWidth="1"/>
    <col min="10231" max="10231" width="8.125" customWidth="1"/>
    <col min="10232" max="10232" width="8.75" customWidth="1"/>
    <col min="10233" max="10233" width="11" customWidth="1"/>
    <col min="10234" max="10234" width="2.875" customWidth="1"/>
    <col min="10235" max="10235" width="77.625" customWidth="1"/>
    <col min="10236" max="10236" width="20.875" customWidth="1"/>
    <col min="10486" max="10486" width="2.875" customWidth="1"/>
    <col min="10487" max="10487" width="8.125" customWidth="1"/>
    <col min="10488" max="10488" width="8.75" customWidth="1"/>
    <col min="10489" max="10489" width="11" customWidth="1"/>
    <col min="10490" max="10490" width="2.875" customWidth="1"/>
    <col min="10491" max="10491" width="77.625" customWidth="1"/>
    <col min="10492" max="10492" width="20.875" customWidth="1"/>
    <col min="10742" max="10742" width="2.875" customWidth="1"/>
    <col min="10743" max="10743" width="8.125" customWidth="1"/>
    <col min="10744" max="10744" width="8.75" customWidth="1"/>
    <col min="10745" max="10745" width="11" customWidth="1"/>
    <col min="10746" max="10746" width="2.875" customWidth="1"/>
    <col min="10747" max="10747" width="77.625" customWidth="1"/>
    <col min="10748" max="10748" width="20.875" customWidth="1"/>
    <col min="10998" max="10998" width="2.875" customWidth="1"/>
    <col min="10999" max="10999" width="8.125" customWidth="1"/>
    <col min="11000" max="11000" width="8.75" customWidth="1"/>
    <col min="11001" max="11001" width="11" customWidth="1"/>
    <col min="11002" max="11002" width="2.875" customWidth="1"/>
    <col min="11003" max="11003" width="77.625" customWidth="1"/>
    <col min="11004" max="11004" width="20.875" customWidth="1"/>
    <col min="11254" max="11254" width="2.875" customWidth="1"/>
    <col min="11255" max="11255" width="8.125" customWidth="1"/>
    <col min="11256" max="11256" width="8.75" customWidth="1"/>
    <col min="11257" max="11257" width="11" customWidth="1"/>
    <col min="11258" max="11258" width="2.875" customWidth="1"/>
    <col min="11259" max="11259" width="77.625" customWidth="1"/>
    <col min="11260" max="11260" width="20.875" customWidth="1"/>
    <col min="11510" max="11510" width="2.875" customWidth="1"/>
    <col min="11511" max="11511" width="8.125" customWidth="1"/>
    <col min="11512" max="11512" width="8.75" customWidth="1"/>
    <col min="11513" max="11513" width="11" customWidth="1"/>
    <col min="11514" max="11514" width="2.875" customWidth="1"/>
    <col min="11515" max="11515" width="77.625" customWidth="1"/>
    <col min="11516" max="11516" width="20.875" customWidth="1"/>
    <col min="11766" max="11766" width="2.875" customWidth="1"/>
    <col min="11767" max="11767" width="8.125" customWidth="1"/>
    <col min="11768" max="11768" width="8.75" customWidth="1"/>
    <col min="11769" max="11769" width="11" customWidth="1"/>
    <col min="11770" max="11770" width="2.875" customWidth="1"/>
    <col min="11771" max="11771" width="77.625" customWidth="1"/>
    <col min="11772" max="11772" width="20.875" customWidth="1"/>
    <col min="12022" max="12022" width="2.875" customWidth="1"/>
    <col min="12023" max="12023" width="8.125" customWidth="1"/>
    <col min="12024" max="12024" width="8.75" customWidth="1"/>
    <col min="12025" max="12025" width="11" customWidth="1"/>
    <col min="12026" max="12026" width="2.875" customWidth="1"/>
    <col min="12027" max="12027" width="77.625" customWidth="1"/>
    <col min="12028" max="12028" width="20.875" customWidth="1"/>
    <col min="12278" max="12278" width="2.875" customWidth="1"/>
    <col min="12279" max="12279" width="8.125" customWidth="1"/>
    <col min="12280" max="12280" width="8.75" customWidth="1"/>
    <col min="12281" max="12281" width="11" customWidth="1"/>
    <col min="12282" max="12282" width="2.875" customWidth="1"/>
    <col min="12283" max="12283" width="77.625" customWidth="1"/>
    <col min="12284" max="12284" width="20.875" customWidth="1"/>
    <col min="12534" max="12534" width="2.875" customWidth="1"/>
    <col min="12535" max="12535" width="8.125" customWidth="1"/>
    <col min="12536" max="12536" width="8.75" customWidth="1"/>
    <col min="12537" max="12537" width="11" customWidth="1"/>
    <col min="12538" max="12538" width="2.875" customWidth="1"/>
    <col min="12539" max="12539" width="77.625" customWidth="1"/>
    <col min="12540" max="12540" width="20.875" customWidth="1"/>
    <col min="12790" max="12790" width="2.875" customWidth="1"/>
    <col min="12791" max="12791" width="8.125" customWidth="1"/>
    <col min="12792" max="12792" width="8.75" customWidth="1"/>
    <col min="12793" max="12793" width="11" customWidth="1"/>
    <col min="12794" max="12794" width="2.875" customWidth="1"/>
    <col min="12795" max="12795" width="77.625" customWidth="1"/>
    <col min="12796" max="12796" width="20.875" customWidth="1"/>
    <col min="13046" max="13046" width="2.875" customWidth="1"/>
    <col min="13047" max="13047" width="8.125" customWidth="1"/>
    <col min="13048" max="13048" width="8.75" customWidth="1"/>
    <col min="13049" max="13049" width="11" customWidth="1"/>
    <col min="13050" max="13050" width="2.875" customWidth="1"/>
    <col min="13051" max="13051" width="77.625" customWidth="1"/>
    <col min="13052" max="13052" width="20.875" customWidth="1"/>
    <col min="13302" max="13302" width="2.875" customWidth="1"/>
    <col min="13303" max="13303" width="8.125" customWidth="1"/>
    <col min="13304" max="13304" width="8.75" customWidth="1"/>
    <col min="13305" max="13305" width="11" customWidth="1"/>
    <col min="13306" max="13306" width="2.875" customWidth="1"/>
    <col min="13307" max="13307" width="77.625" customWidth="1"/>
    <col min="13308" max="13308" width="20.875" customWidth="1"/>
    <col min="13558" max="13558" width="2.875" customWidth="1"/>
    <col min="13559" max="13559" width="8.125" customWidth="1"/>
    <col min="13560" max="13560" width="8.75" customWidth="1"/>
    <col min="13561" max="13561" width="11" customWidth="1"/>
    <col min="13562" max="13562" width="2.875" customWidth="1"/>
    <col min="13563" max="13563" width="77.625" customWidth="1"/>
    <col min="13564" max="13564" width="20.875" customWidth="1"/>
    <col min="13814" max="13814" width="2.875" customWidth="1"/>
    <col min="13815" max="13815" width="8.125" customWidth="1"/>
    <col min="13816" max="13816" width="8.75" customWidth="1"/>
    <col min="13817" max="13817" width="11" customWidth="1"/>
    <col min="13818" max="13818" width="2.875" customWidth="1"/>
    <col min="13819" max="13819" width="77.625" customWidth="1"/>
    <col min="13820" max="13820" width="20.875" customWidth="1"/>
    <col min="14070" max="14070" width="2.875" customWidth="1"/>
    <col min="14071" max="14071" width="8.125" customWidth="1"/>
    <col min="14072" max="14072" width="8.75" customWidth="1"/>
    <col min="14073" max="14073" width="11" customWidth="1"/>
    <col min="14074" max="14074" width="2.875" customWidth="1"/>
    <col min="14075" max="14075" width="77.625" customWidth="1"/>
    <col min="14076" max="14076" width="20.875" customWidth="1"/>
    <col min="14326" max="14326" width="2.875" customWidth="1"/>
    <col min="14327" max="14327" width="8.125" customWidth="1"/>
    <col min="14328" max="14328" width="8.75" customWidth="1"/>
    <col min="14329" max="14329" width="11" customWidth="1"/>
    <col min="14330" max="14330" width="2.875" customWidth="1"/>
    <col min="14331" max="14331" width="77.625" customWidth="1"/>
    <col min="14332" max="14332" width="20.875" customWidth="1"/>
    <col min="14582" max="14582" width="2.875" customWidth="1"/>
    <col min="14583" max="14583" width="8.125" customWidth="1"/>
    <col min="14584" max="14584" width="8.75" customWidth="1"/>
    <col min="14585" max="14585" width="11" customWidth="1"/>
    <col min="14586" max="14586" width="2.875" customWidth="1"/>
    <col min="14587" max="14587" width="77.625" customWidth="1"/>
    <col min="14588" max="14588" width="20.875" customWidth="1"/>
    <col min="14838" max="14838" width="2.875" customWidth="1"/>
    <col min="14839" max="14839" width="8.125" customWidth="1"/>
    <col min="14840" max="14840" width="8.75" customWidth="1"/>
    <col min="14841" max="14841" width="11" customWidth="1"/>
    <col min="14842" max="14842" width="2.875" customWidth="1"/>
    <col min="14843" max="14843" width="77.625" customWidth="1"/>
    <col min="14844" max="14844" width="20.875" customWidth="1"/>
    <col min="15094" max="15094" width="2.875" customWidth="1"/>
    <col min="15095" max="15095" width="8.125" customWidth="1"/>
    <col min="15096" max="15096" width="8.75" customWidth="1"/>
    <col min="15097" max="15097" width="11" customWidth="1"/>
    <col min="15098" max="15098" width="2.875" customWidth="1"/>
    <col min="15099" max="15099" width="77.625" customWidth="1"/>
    <col min="15100" max="15100" width="20.875" customWidth="1"/>
    <col min="15350" max="15350" width="2.875" customWidth="1"/>
    <col min="15351" max="15351" width="8.125" customWidth="1"/>
    <col min="15352" max="15352" width="8.75" customWidth="1"/>
    <col min="15353" max="15353" width="11" customWidth="1"/>
    <col min="15354" max="15354" width="2.875" customWidth="1"/>
    <col min="15355" max="15355" width="77.625" customWidth="1"/>
    <col min="15356" max="15356" width="20.875" customWidth="1"/>
    <col min="15606" max="15606" width="2.875" customWidth="1"/>
    <col min="15607" max="15607" width="8.125" customWidth="1"/>
    <col min="15608" max="15608" width="8.75" customWidth="1"/>
    <col min="15609" max="15609" width="11" customWidth="1"/>
    <col min="15610" max="15610" width="2.875" customWidth="1"/>
    <col min="15611" max="15611" width="77.625" customWidth="1"/>
    <col min="15612" max="15612" width="20.875" customWidth="1"/>
    <col min="15862" max="15862" width="2.875" customWidth="1"/>
    <col min="15863" max="15863" width="8.125" customWidth="1"/>
    <col min="15864" max="15864" width="8.75" customWidth="1"/>
    <col min="15865" max="15865" width="11" customWidth="1"/>
    <col min="15866" max="15866" width="2.875" customWidth="1"/>
    <col min="15867" max="15867" width="77.625" customWidth="1"/>
    <col min="15868" max="15868" width="20.875" customWidth="1"/>
    <col min="16118" max="16118" width="2.875" customWidth="1"/>
    <col min="16119" max="16119" width="8.125" customWidth="1"/>
    <col min="16120" max="16120" width="8.75" customWidth="1"/>
    <col min="16121" max="16121" width="11" customWidth="1"/>
    <col min="16122" max="16122" width="2.875" customWidth="1"/>
    <col min="16123" max="16123" width="77.625" customWidth="1"/>
    <col min="16124" max="16124" width="20.875" customWidth="1"/>
  </cols>
  <sheetData>
    <row r="1" spans="1:9" ht="22.5" customHeight="1" x14ac:dyDescent="0.4">
      <c r="A1" s="34" t="s">
        <v>0</v>
      </c>
      <c r="B1" s="35"/>
      <c r="C1" s="36"/>
      <c r="D1" s="36"/>
      <c r="E1" s="36"/>
      <c r="F1" s="35"/>
      <c r="G1" s="35"/>
      <c r="H1" s="35"/>
      <c r="I1" s="35"/>
    </row>
    <row r="2" spans="1:9" ht="22.5" customHeight="1" x14ac:dyDescent="0.4">
      <c r="A2" s="34" t="s">
        <v>64</v>
      </c>
      <c r="B2" s="35"/>
      <c r="C2" s="36"/>
      <c r="D2" s="36"/>
      <c r="E2" s="36"/>
      <c r="F2" s="35"/>
      <c r="G2" s="35"/>
      <c r="H2" s="35"/>
      <c r="I2" s="35"/>
    </row>
    <row r="3" spans="1:9" ht="22.5" customHeight="1" x14ac:dyDescent="0.4">
      <c r="A3" s="34" t="s">
        <v>162</v>
      </c>
      <c r="B3" s="35"/>
      <c r="C3" s="36"/>
      <c r="D3" s="36"/>
      <c r="E3" s="36"/>
      <c r="F3" s="35"/>
      <c r="G3" s="35"/>
      <c r="H3" s="35"/>
      <c r="I3" s="35"/>
    </row>
    <row r="4" spans="1:9" s="38" customFormat="1" ht="8.25" customHeight="1" x14ac:dyDescent="0.2">
      <c r="A4" s="37"/>
      <c r="B4" s="37"/>
      <c r="C4" s="37"/>
      <c r="D4" s="37"/>
      <c r="E4" s="37"/>
      <c r="F4" s="37"/>
    </row>
    <row r="5" spans="1:9" s="43" customFormat="1" ht="8.25" customHeight="1" thickBot="1" x14ac:dyDescent="0.25">
      <c r="A5" s="42"/>
      <c r="B5" s="42"/>
      <c r="C5" s="42"/>
      <c r="D5" s="42"/>
      <c r="E5" s="42"/>
      <c r="F5" s="42"/>
    </row>
    <row r="6" spans="1:9" s="43" customFormat="1" ht="48" customHeight="1" thickBot="1" x14ac:dyDescent="0.25">
      <c r="A6" s="42"/>
      <c r="B6" s="516" t="s">
        <v>7</v>
      </c>
      <c r="C6" s="516"/>
      <c r="D6" s="516"/>
      <c r="E6" s="516"/>
      <c r="F6" s="516"/>
      <c r="G6" s="517" t="s">
        <v>163</v>
      </c>
      <c r="H6" s="517"/>
      <c r="I6" s="517" t="s">
        <v>164</v>
      </c>
    </row>
    <row r="7" spans="1:9" s="43" customFormat="1" ht="20.25" x14ac:dyDescent="0.2">
      <c r="A7" s="42"/>
      <c r="B7" s="42"/>
      <c r="C7" s="46" t="s">
        <v>13</v>
      </c>
      <c r="D7" s="46"/>
      <c r="E7" s="46"/>
      <c r="F7" s="42"/>
      <c r="G7" s="159">
        <v>787392</v>
      </c>
      <c r="H7" s="159"/>
      <c r="I7" s="159">
        <v>702872</v>
      </c>
    </row>
    <row r="8" spans="1:9" s="43" customFormat="1" ht="20.25" x14ac:dyDescent="0.2">
      <c r="A8" s="42"/>
      <c r="B8" s="42"/>
      <c r="C8" s="46" t="s">
        <v>14</v>
      </c>
      <c r="D8" s="46"/>
      <c r="E8" s="46"/>
      <c r="F8" s="42"/>
      <c r="G8" s="150">
        <v>115000</v>
      </c>
      <c r="H8" s="150"/>
      <c r="I8" s="150">
        <v>127749</v>
      </c>
    </row>
    <row r="9" spans="1:9" s="43" customFormat="1" ht="20.25" x14ac:dyDescent="0.2">
      <c r="A9" s="42"/>
      <c r="B9" s="42"/>
      <c r="C9" s="46" t="s">
        <v>15</v>
      </c>
      <c r="D9" s="46"/>
      <c r="E9" s="46"/>
      <c r="F9" s="42"/>
      <c r="G9" s="150">
        <v>42500</v>
      </c>
      <c r="H9" s="150"/>
      <c r="I9" s="150">
        <v>42000</v>
      </c>
    </row>
    <row r="10" spans="1:9" s="43" customFormat="1" ht="20.25" x14ac:dyDescent="0.2">
      <c r="A10" s="42"/>
      <c r="B10" s="42"/>
      <c r="C10" s="46" t="s">
        <v>16</v>
      </c>
      <c r="D10" s="46"/>
      <c r="E10" s="46"/>
      <c r="F10" s="42"/>
      <c r="G10" s="150">
        <v>0</v>
      </c>
      <c r="H10" s="150"/>
      <c r="I10" s="150"/>
    </row>
    <row r="11" spans="1:9" s="43" customFormat="1" ht="20.25" x14ac:dyDescent="0.2">
      <c r="A11" s="42"/>
      <c r="B11" s="42"/>
      <c r="D11" s="46" t="s">
        <v>17</v>
      </c>
      <c r="E11" s="46"/>
      <c r="F11" s="42"/>
      <c r="G11" s="150">
        <f>208748+48500-42500</f>
        <v>214748</v>
      </c>
      <c r="H11" s="150"/>
      <c r="I11" s="150">
        <v>212125</v>
      </c>
    </row>
    <row r="12" spans="1:9" s="43" customFormat="1" ht="20.25" x14ac:dyDescent="0.2">
      <c r="A12" s="42"/>
      <c r="B12" s="42"/>
      <c r="D12" s="46" t="s">
        <v>18</v>
      </c>
      <c r="E12" s="46"/>
      <c r="F12" s="42"/>
      <c r="G12" s="150">
        <v>18000</v>
      </c>
      <c r="H12" s="150"/>
      <c r="I12" s="150">
        <v>18000</v>
      </c>
    </row>
    <row r="13" spans="1:9" s="43" customFormat="1" ht="20.25" x14ac:dyDescent="0.2">
      <c r="A13" s="42"/>
      <c r="B13" s="42"/>
      <c r="C13" s="46"/>
      <c r="D13" s="46" t="s">
        <v>19</v>
      </c>
      <c r="E13" s="46"/>
      <c r="F13" s="42"/>
      <c r="G13" s="150">
        <v>0</v>
      </c>
      <c r="H13" s="150"/>
      <c r="I13" s="150"/>
    </row>
    <row r="14" spans="1:9" s="43" customFormat="1" ht="20.25" x14ac:dyDescent="0.2">
      <c r="A14" s="42"/>
      <c r="B14" s="42"/>
      <c r="C14" s="46" t="s">
        <v>20</v>
      </c>
      <c r="D14" s="46"/>
      <c r="E14" s="46"/>
      <c r="F14" s="42"/>
      <c r="G14" s="150">
        <v>20000</v>
      </c>
      <c r="H14" s="150"/>
      <c r="I14" s="150">
        <v>22000</v>
      </c>
    </row>
    <row r="15" spans="1:9" s="43" customFormat="1" ht="20.25" x14ac:dyDescent="0.2">
      <c r="A15" s="42"/>
      <c r="B15" s="42"/>
      <c r="C15" s="46" t="s">
        <v>165</v>
      </c>
      <c r="D15" s="46"/>
      <c r="E15" s="46"/>
      <c r="F15" s="42"/>
      <c r="G15" s="150">
        <v>10000</v>
      </c>
      <c r="H15" s="150"/>
      <c r="I15" s="150">
        <f>29063</f>
        <v>29063</v>
      </c>
    </row>
    <row r="16" spans="1:9" s="43" customFormat="1" ht="20.25" x14ac:dyDescent="0.2">
      <c r="A16" s="42"/>
      <c r="B16" s="42"/>
      <c r="C16" s="46" t="s">
        <v>21</v>
      </c>
      <c r="D16" s="46"/>
      <c r="E16" s="46"/>
      <c r="F16" s="42"/>
      <c r="G16" s="150">
        <v>650</v>
      </c>
      <c r="H16" s="150"/>
      <c r="I16" s="150">
        <v>480</v>
      </c>
    </row>
    <row r="17" spans="2:9" s="43" customFormat="1" ht="20.25" x14ac:dyDescent="0.2">
      <c r="B17" s="42"/>
      <c r="C17" s="46" t="s">
        <v>22</v>
      </c>
      <c r="D17" s="46"/>
      <c r="E17" s="46"/>
      <c r="F17" s="42"/>
      <c r="G17" s="150">
        <v>1200</v>
      </c>
      <c r="H17" s="150"/>
      <c r="I17" s="150">
        <v>2000</v>
      </c>
    </row>
    <row r="18" spans="2:9" s="43" customFormat="1" ht="20.25" x14ac:dyDescent="0.2">
      <c r="B18" s="42"/>
      <c r="C18" s="46" t="s">
        <v>166</v>
      </c>
      <c r="D18" s="46"/>
      <c r="E18" s="46"/>
      <c r="F18" s="42"/>
      <c r="G18" s="150">
        <v>3000</v>
      </c>
      <c r="H18" s="150"/>
      <c r="I18" s="150">
        <v>5000</v>
      </c>
    </row>
    <row r="19" spans="2:9" s="43" customFormat="1" ht="20.25" x14ac:dyDescent="0.2">
      <c r="B19" s="42"/>
      <c r="C19" s="46" t="s">
        <v>24</v>
      </c>
      <c r="D19" s="46"/>
      <c r="E19" s="46"/>
      <c r="F19" s="42"/>
      <c r="G19" s="150">
        <v>370038</v>
      </c>
      <c r="H19" s="150"/>
      <c r="I19" s="150">
        <f>153800+60000</f>
        <v>213800</v>
      </c>
    </row>
    <row r="20" spans="2:9" s="43" customFormat="1" ht="20.25" x14ac:dyDescent="0.2">
      <c r="B20" s="42"/>
      <c r="C20" s="46" t="s">
        <v>29</v>
      </c>
      <c r="D20" s="475"/>
      <c r="E20" s="475"/>
      <c r="F20" s="475"/>
      <c r="G20" s="150">
        <v>52740</v>
      </c>
      <c r="H20" s="150"/>
      <c r="I20" s="150">
        <v>52740</v>
      </c>
    </row>
    <row r="21" spans="2:9" s="43" customFormat="1" ht="20.25" x14ac:dyDescent="0.2">
      <c r="B21" s="42"/>
      <c r="C21" s="46" t="s">
        <v>30</v>
      </c>
      <c r="D21" s="475"/>
      <c r="E21" s="475"/>
      <c r="F21" s="475"/>
      <c r="G21" s="150">
        <v>17250</v>
      </c>
      <c r="H21" s="150"/>
      <c r="I21" s="150">
        <f>10683+5000+1800</f>
        <v>17483</v>
      </c>
    </row>
    <row r="22" spans="2:9" s="43" customFormat="1" ht="20.25" x14ac:dyDescent="0.2">
      <c r="B22" s="42"/>
      <c r="C22" s="46" t="s">
        <v>16</v>
      </c>
      <c r="D22" s="475"/>
      <c r="E22" s="475"/>
      <c r="F22" s="475"/>
      <c r="G22" s="150">
        <v>21000</v>
      </c>
      <c r="H22" s="150"/>
      <c r="I22" s="150">
        <v>21000</v>
      </c>
    </row>
    <row r="23" spans="2:9" s="43" customFormat="1" ht="20.25" x14ac:dyDescent="0.2">
      <c r="B23" s="42"/>
      <c r="C23" s="46" t="s">
        <v>31</v>
      </c>
      <c r="D23" s="475"/>
      <c r="E23" s="475"/>
      <c r="F23" s="475"/>
      <c r="G23" s="150">
        <v>54000</v>
      </c>
      <c r="H23" s="150"/>
      <c r="I23" s="150">
        <v>52000</v>
      </c>
    </row>
    <row r="24" spans="2:9" s="43" customFormat="1" ht="20.25" x14ac:dyDescent="0.2">
      <c r="B24" s="42"/>
      <c r="C24" s="46" t="s">
        <v>32</v>
      </c>
      <c r="D24" s="475"/>
      <c r="E24" s="475"/>
      <c r="F24" s="475"/>
      <c r="G24" s="150">
        <v>18537</v>
      </c>
      <c r="H24" s="150"/>
      <c r="I24" s="150">
        <f>7034+1500+2000</f>
        <v>10534</v>
      </c>
    </row>
    <row r="25" spans="2:9" s="43" customFormat="1" ht="20.25" x14ac:dyDescent="0.2">
      <c r="B25" s="42"/>
      <c r="C25" s="46"/>
      <c r="D25" s="42" t="s">
        <v>33</v>
      </c>
      <c r="E25" s="46"/>
      <c r="F25" s="42"/>
      <c r="G25" s="158">
        <f>SUM(G7:G24)</f>
        <v>1746055</v>
      </c>
      <c r="H25" s="158"/>
      <c r="I25" s="158">
        <f>SUM(I7:I24)</f>
        <v>1528846</v>
      </c>
    </row>
    <row r="26" spans="2:9" s="43" customFormat="1" ht="21" thickBot="1" x14ac:dyDescent="0.25">
      <c r="B26" s="42"/>
      <c r="C26" s="46"/>
      <c r="D26" s="42"/>
      <c r="E26" s="46"/>
      <c r="F26" s="42"/>
      <c r="G26" s="150"/>
      <c r="H26" s="150"/>
      <c r="I26" s="150"/>
    </row>
    <row r="27" spans="2:9" s="43" customFormat="1" ht="54.75" thickBot="1" x14ac:dyDescent="0.25">
      <c r="B27" s="516" t="s">
        <v>34</v>
      </c>
      <c r="C27" s="516"/>
      <c r="D27" s="516"/>
      <c r="E27" s="516"/>
      <c r="F27" s="516"/>
      <c r="G27" s="517" t="s">
        <v>163</v>
      </c>
      <c r="H27" s="517"/>
      <c r="I27" s="517" t="s">
        <v>164</v>
      </c>
    </row>
    <row r="28" spans="2:9" s="43" customFormat="1" ht="20.25" x14ac:dyDescent="0.2">
      <c r="B28" s="42"/>
      <c r="C28" s="46" t="s">
        <v>35</v>
      </c>
      <c r="D28" s="46"/>
      <c r="E28" s="46"/>
      <c r="F28" s="46"/>
      <c r="G28" s="150">
        <v>1094561</v>
      </c>
      <c r="H28" s="150"/>
      <c r="I28" s="150">
        <v>930000</v>
      </c>
    </row>
    <row r="29" spans="2:9" s="43" customFormat="1" ht="20.25" x14ac:dyDescent="0.2">
      <c r="B29" s="42"/>
      <c r="C29" s="46" t="s">
        <v>36</v>
      </c>
      <c r="D29" s="46"/>
      <c r="E29" s="46"/>
      <c r="F29" s="46"/>
      <c r="G29" s="150">
        <v>222612</v>
      </c>
      <c r="H29" s="150"/>
      <c r="I29" s="150">
        <v>182500</v>
      </c>
    </row>
    <row r="30" spans="2:9" s="43" customFormat="1" ht="20.25" x14ac:dyDescent="0.2">
      <c r="B30" s="42"/>
      <c r="C30" s="46" t="s">
        <v>37</v>
      </c>
      <c r="D30" s="46"/>
      <c r="E30" s="46"/>
      <c r="F30" s="46"/>
      <c r="G30" s="150">
        <v>1800</v>
      </c>
      <c r="H30" s="150"/>
      <c r="I30" s="150">
        <v>1800</v>
      </c>
    </row>
    <row r="31" spans="2:9" s="43" customFormat="1" ht="20.25" x14ac:dyDescent="0.2">
      <c r="B31" s="42"/>
      <c r="C31" s="46" t="s">
        <v>38</v>
      </c>
      <c r="D31" s="46"/>
      <c r="E31" s="46"/>
      <c r="F31" s="46"/>
      <c r="G31" s="150">
        <v>52740</v>
      </c>
      <c r="H31" s="150"/>
      <c r="I31" s="150">
        <v>52740</v>
      </c>
    </row>
    <row r="32" spans="2:9" s="43" customFormat="1" ht="20.25" x14ac:dyDescent="0.2">
      <c r="B32" s="42"/>
      <c r="C32" s="46" t="s">
        <v>39</v>
      </c>
      <c r="D32" s="46"/>
      <c r="E32" s="46"/>
      <c r="F32" s="46"/>
      <c r="G32" s="150">
        <v>22993</v>
      </c>
      <c r="H32" s="150"/>
      <c r="I32" s="150">
        <v>19478</v>
      </c>
    </row>
    <row r="33" spans="2:9" s="43" customFormat="1" ht="20.25" x14ac:dyDescent="0.2">
      <c r="B33" s="42"/>
      <c r="C33" s="46" t="s">
        <v>40</v>
      </c>
      <c r="D33" s="46"/>
      <c r="E33" s="46"/>
      <c r="F33" s="46"/>
      <c r="G33" s="150">
        <v>2820</v>
      </c>
      <c r="H33" s="150"/>
      <c r="I33" s="150">
        <v>3395</v>
      </c>
    </row>
    <row r="34" spans="2:9" s="43" customFormat="1" ht="20.25" x14ac:dyDescent="0.2">
      <c r="B34" s="42"/>
      <c r="C34" s="46" t="s">
        <v>41</v>
      </c>
      <c r="D34" s="46"/>
      <c r="E34" s="46"/>
      <c r="F34" s="46"/>
      <c r="G34" s="150">
        <v>5127</v>
      </c>
      <c r="H34" s="150"/>
      <c r="I34" s="150">
        <v>5398</v>
      </c>
    </row>
    <row r="35" spans="2:9" s="43" customFormat="1" ht="20.25" x14ac:dyDescent="0.2">
      <c r="B35" s="42"/>
      <c r="C35" s="46" t="s">
        <v>42</v>
      </c>
      <c r="D35" s="46"/>
      <c r="E35" s="46"/>
      <c r="F35" s="46"/>
      <c r="G35" s="150">
        <v>5612</v>
      </c>
      <c r="H35" s="150"/>
      <c r="I35" s="150">
        <v>8340</v>
      </c>
    </row>
    <row r="36" spans="2:9" s="43" customFormat="1" ht="20.25" x14ac:dyDescent="0.2">
      <c r="B36" s="42"/>
      <c r="C36" s="46" t="s">
        <v>43</v>
      </c>
      <c r="D36" s="46"/>
      <c r="E36" s="46"/>
      <c r="F36" s="46"/>
      <c r="G36" s="150">
        <v>42000</v>
      </c>
      <c r="H36" s="150"/>
      <c r="I36" s="150">
        <v>49000</v>
      </c>
    </row>
    <row r="37" spans="2:9" s="43" customFormat="1" ht="20.25" x14ac:dyDescent="0.2">
      <c r="B37" s="42"/>
      <c r="C37" s="46" t="s">
        <v>44</v>
      </c>
      <c r="D37" s="46"/>
      <c r="E37" s="46"/>
      <c r="F37" s="46"/>
      <c r="G37" s="150">
        <v>4960</v>
      </c>
      <c r="H37" s="150"/>
      <c r="I37" s="150">
        <v>5600</v>
      </c>
    </row>
    <row r="38" spans="2:9" s="43" customFormat="1" ht="20.25" x14ac:dyDescent="0.2">
      <c r="B38" s="42"/>
      <c r="C38" s="46" t="s">
        <v>45</v>
      </c>
      <c r="D38" s="46"/>
      <c r="E38" s="46"/>
      <c r="F38" s="46"/>
      <c r="G38" s="150">
        <v>1501</v>
      </c>
      <c r="H38" s="150"/>
      <c r="I38" s="150">
        <v>1450</v>
      </c>
    </row>
    <row r="39" spans="2:9" s="43" customFormat="1" ht="20.25" x14ac:dyDescent="0.2">
      <c r="B39" s="42"/>
      <c r="C39" s="46" t="s">
        <v>46</v>
      </c>
      <c r="D39" s="46"/>
      <c r="E39" s="46"/>
      <c r="F39" s="46"/>
      <c r="G39" s="150">
        <v>23000</v>
      </c>
      <c r="H39" s="150"/>
      <c r="I39" s="150">
        <v>12175</v>
      </c>
    </row>
    <row r="40" spans="2:9" s="43" customFormat="1" ht="20.25" x14ac:dyDescent="0.2">
      <c r="B40" s="42"/>
      <c r="C40" s="814" t="s">
        <v>47</v>
      </c>
      <c r="D40" s="814"/>
      <c r="E40" s="814"/>
      <c r="F40" s="814"/>
      <c r="G40" s="150">
        <v>0</v>
      </c>
      <c r="H40" s="150"/>
      <c r="I40" s="150">
        <v>410</v>
      </c>
    </row>
    <row r="41" spans="2:9" s="43" customFormat="1" ht="20.25" x14ac:dyDescent="0.2">
      <c r="B41" s="42"/>
      <c r="C41" s="46" t="s">
        <v>48</v>
      </c>
      <c r="D41" s="46"/>
      <c r="E41" s="46"/>
      <c r="F41" s="46"/>
      <c r="G41" s="150">
        <v>29350</v>
      </c>
      <c r="H41" s="150"/>
      <c r="I41" s="150">
        <f>24841+42+42</f>
        <v>24925</v>
      </c>
    </row>
    <row r="42" spans="2:9" s="43" customFormat="1" ht="20.25" x14ac:dyDescent="0.2">
      <c r="B42" s="42"/>
      <c r="C42" s="46" t="s">
        <v>49</v>
      </c>
      <c r="D42" s="46"/>
      <c r="E42" s="46"/>
      <c r="F42" s="46"/>
      <c r="G42" s="150">
        <v>25000</v>
      </c>
      <c r="H42" s="150"/>
      <c r="I42" s="150">
        <v>25700</v>
      </c>
    </row>
    <row r="43" spans="2:9" s="43" customFormat="1" ht="20.25" x14ac:dyDescent="0.2">
      <c r="B43" s="42"/>
      <c r="C43" s="46" t="s">
        <v>50</v>
      </c>
      <c r="D43" s="46"/>
      <c r="E43" s="46"/>
      <c r="F43" s="46"/>
      <c r="G43" s="150">
        <v>700</v>
      </c>
      <c r="H43" s="150"/>
      <c r="I43" s="150">
        <v>303</v>
      </c>
    </row>
    <row r="44" spans="2:9" s="43" customFormat="1" ht="20.25" x14ac:dyDescent="0.2">
      <c r="B44" s="42"/>
      <c r="C44" s="46" t="s">
        <v>51</v>
      </c>
      <c r="D44" s="46"/>
      <c r="E44" s="46"/>
      <c r="F44" s="46"/>
      <c r="G44" s="150">
        <f>2000+3500</f>
        <v>5500</v>
      </c>
      <c r="H44" s="150"/>
      <c r="I44" s="150">
        <f>3012.83+6264</f>
        <v>9276.83</v>
      </c>
    </row>
    <row r="45" spans="2:9" s="43" customFormat="1" ht="20.25" customHeight="1" x14ac:dyDescent="0.2">
      <c r="B45" s="42"/>
      <c r="C45" s="46" t="s">
        <v>52</v>
      </c>
      <c r="D45" s="46"/>
      <c r="E45" s="46"/>
      <c r="F45" s="46"/>
      <c r="G45" s="150">
        <v>8543</v>
      </c>
      <c r="H45" s="150"/>
      <c r="I45" s="150">
        <v>6326</v>
      </c>
    </row>
    <row r="46" spans="2:9" s="43" customFormat="1" ht="20.25" x14ac:dyDescent="0.2">
      <c r="B46" s="46"/>
      <c r="C46" s="46" t="s">
        <v>53</v>
      </c>
      <c r="D46" s="46"/>
      <c r="E46" s="46"/>
      <c r="F46" s="46"/>
      <c r="G46" s="150">
        <v>58875</v>
      </c>
      <c r="H46" s="150"/>
      <c r="I46" s="150">
        <v>25015</v>
      </c>
    </row>
    <row r="47" spans="2:9" s="43" customFormat="1" ht="20.25" x14ac:dyDescent="0.2">
      <c r="B47" s="42"/>
      <c r="C47" s="46" t="s">
        <v>54</v>
      </c>
      <c r="D47" s="46"/>
      <c r="E47" s="46"/>
      <c r="F47" s="46"/>
      <c r="G47" s="150">
        <v>60600</v>
      </c>
      <c r="H47" s="150"/>
      <c r="I47" s="150">
        <v>62119</v>
      </c>
    </row>
    <row r="48" spans="2:9" s="43" customFormat="1" ht="20.25" x14ac:dyDescent="0.2">
      <c r="B48" s="42"/>
      <c r="C48" s="46" t="s">
        <v>55</v>
      </c>
      <c r="D48" s="46"/>
      <c r="E48" s="46"/>
      <c r="F48" s="46"/>
      <c r="G48" s="152">
        <f>9000+35702</f>
        <v>44702</v>
      </c>
      <c r="H48" s="150"/>
      <c r="I48" s="152">
        <f>15559+52280</f>
        <v>67839</v>
      </c>
    </row>
    <row r="49" spans="2:9" s="43" customFormat="1" ht="20.25" x14ac:dyDescent="0.2">
      <c r="B49" s="46"/>
      <c r="D49" s="42" t="s">
        <v>68</v>
      </c>
      <c r="G49" s="150">
        <f>SUM(G28:G48)</f>
        <v>1712996</v>
      </c>
      <c r="H49" s="150"/>
      <c r="I49" s="150">
        <f>SUM(I28:I48)</f>
        <v>1493789.83</v>
      </c>
    </row>
    <row r="50" spans="2:9" s="43" customFormat="1" ht="8.25" customHeight="1" x14ac:dyDescent="0.2">
      <c r="B50" s="46"/>
      <c r="C50" s="42"/>
      <c r="D50" s="42"/>
      <c r="G50" s="150"/>
      <c r="H50" s="150"/>
      <c r="I50" s="150"/>
    </row>
    <row r="51" spans="2:9" s="43" customFormat="1" ht="20.25" x14ac:dyDescent="0.2">
      <c r="B51" s="46"/>
      <c r="C51" s="518" t="s">
        <v>57</v>
      </c>
      <c r="D51"/>
      <c r="E51" s="42"/>
      <c r="F51" s="42"/>
      <c r="G51" s="158">
        <f>G25-G49</f>
        <v>33059</v>
      </c>
      <c r="H51" s="150"/>
      <c r="I51" s="158">
        <f>I25-I49</f>
        <v>35056.169999999925</v>
      </c>
    </row>
    <row r="52" spans="2:9" s="43" customFormat="1" ht="9" customHeight="1" x14ac:dyDescent="0.2">
      <c r="B52" s="46"/>
      <c r="C52" s="46"/>
      <c r="D52" s="46"/>
      <c r="E52" s="46"/>
      <c r="F52" s="46"/>
      <c r="G52" s="150"/>
      <c r="H52" s="150"/>
      <c r="I52" s="150"/>
    </row>
    <row r="53" spans="2:9" s="43" customFormat="1" ht="23.25" customHeight="1" x14ac:dyDescent="0.2">
      <c r="B53" s="46"/>
      <c r="C53" s="46" t="s">
        <v>69</v>
      </c>
      <c r="D53" s="46"/>
      <c r="F53" s="46"/>
      <c r="G53" s="150">
        <v>24021</v>
      </c>
      <c r="H53" s="150"/>
      <c r="I53" s="150">
        <v>35278</v>
      </c>
    </row>
    <row r="54" spans="2:9" s="43" customFormat="1" ht="20.25" x14ac:dyDescent="0.2">
      <c r="B54" s="46"/>
      <c r="C54" s="46" t="s">
        <v>70</v>
      </c>
      <c r="D54" s="46"/>
      <c r="F54" s="46"/>
      <c r="G54" s="150">
        <v>5933</v>
      </c>
      <c r="H54" s="150"/>
      <c r="I54" s="150">
        <v>5330</v>
      </c>
    </row>
    <row r="55" spans="2:9" s="43" customFormat="1" ht="9" customHeight="1" thickBot="1" x14ac:dyDescent="0.25">
      <c r="B55" s="46"/>
      <c r="C55" s="46"/>
      <c r="D55" s="46"/>
      <c r="E55" s="46"/>
      <c r="F55" s="46"/>
      <c r="G55" s="150"/>
      <c r="H55" s="150"/>
      <c r="I55" s="150"/>
    </row>
    <row r="56" spans="2:9" s="43" customFormat="1" ht="21.75" thickTop="1" thickBot="1" x14ac:dyDescent="0.25">
      <c r="B56" s="42"/>
      <c r="C56" s="519" t="s">
        <v>59</v>
      </c>
      <c r="D56" s="520"/>
      <c r="E56" s="520"/>
      <c r="F56" s="520"/>
      <c r="G56" s="521">
        <f>G51-G54-G53</f>
        <v>3105</v>
      </c>
      <c r="H56" s="521"/>
      <c r="I56" s="521">
        <f>I51-I54-I53</f>
        <v>-5551.8300000000745</v>
      </c>
    </row>
    <row r="57" spans="2:9" s="43" customFormat="1" ht="21" thickTop="1" x14ac:dyDescent="0.2">
      <c r="B57" s="42"/>
      <c r="C57" s="42"/>
      <c r="D57" s="42"/>
      <c r="E57" s="42"/>
      <c r="F57" s="42"/>
      <c r="G57" s="153"/>
      <c r="H57" s="153"/>
    </row>
    <row r="58" spans="2:9" ht="20.25" x14ac:dyDescent="0.3">
      <c r="B58" s="522" t="s">
        <v>167</v>
      </c>
      <c r="C58" s="523"/>
      <c r="F58" s="489"/>
      <c r="G58" s="183"/>
      <c r="H58" s="183"/>
      <c r="I58" s="523"/>
    </row>
    <row r="59" spans="2:9" ht="9.75" customHeight="1" x14ac:dyDescent="0.3">
      <c r="B59" s="522"/>
      <c r="C59" s="523"/>
      <c r="F59" s="489"/>
      <c r="G59" s="183"/>
      <c r="H59" s="183"/>
      <c r="I59" s="523"/>
    </row>
    <row r="60" spans="2:9" ht="20.25" x14ac:dyDescent="0.3">
      <c r="B60" s="522"/>
      <c r="C60" s="21" t="s">
        <v>72</v>
      </c>
      <c r="F60" s="489"/>
      <c r="G60" s="183"/>
      <c r="H60" s="183"/>
      <c r="I60" s="523"/>
    </row>
    <row r="61" spans="2:9" ht="20.25" x14ac:dyDescent="0.3">
      <c r="B61" s="522"/>
      <c r="C61" s="361" t="s">
        <v>73</v>
      </c>
      <c r="F61" s="489"/>
      <c r="G61" s="183"/>
      <c r="H61" s="183"/>
      <c r="I61" s="523"/>
    </row>
    <row r="62" spans="2:9" ht="33.75" customHeight="1" x14ac:dyDescent="0.3">
      <c r="B62" s="522"/>
      <c r="C62" s="815" t="s">
        <v>74</v>
      </c>
      <c r="D62" s="815"/>
      <c r="E62" s="815"/>
      <c r="F62" s="815"/>
      <c r="G62" s="815"/>
      <c r="H62" s="815"/>
      <c r="I62" s="815"/>
    </row>
    <row r="63" spans="2:9" ht="20.25" x14ac:dyDescent="0.3">
      <c r="B63" s="522"/>
      <c r="C63" s="361" t="s">
        <v>168</v>
      </c>
      <c r="F63" s="489"/>
      <c r="G63" s="183"/>
      <c r="H63" s="183"/>
      <c r="I63" s="523"/>
    </row>
    <row r="64" spans="2:9" ht="20.25" x14ac:dyDescent="0.3">
      <c r="B64" s="522"/>
      <c r="C64">
        <v>1</v>
      </c>
      <c r="D64" s="361" t="s">
        <v>169</v>
      </c>
      <c r="F64" s="489"/>
      <c r="G64" s="183"/>
      <c r="H64" s="183"/>
      <c r="I64" s="523"/>
    </row>
    <row r="65" spans="3:9" ht="20.25" x14ac:dyDescent="0.3">
      <c r="C65" s="361">
        <v>2</v>
      </c>
      <c r="D65" s="361" t="s">
        <v>170</v>
      </c>
      <c r="F65" s="489"/>
      <c r="G65" s="183"/>
      <c r="H65" s="183"/>
      <c r="I65" s="523"/>
    </row>
    <row r="66" spans="3:9" ht="20.25" x14ac:dyDescent="0.3">
      <c r="C66" s="361" t="s">
        <v>171</v>
      </c>
      <c r="D66" s="361"/>
      <c r="F66" s="489"/>
      <c r="G66" s="183"/>
      <c r="H66" s="183"/>
      <c r="I66" s="523"/>
    </row>
    <row r="67" spans="3:9" ht="39.75" customHeight="1" x14ac:dyDescent="0.2">
      <c r="C67" s="815" t="s">
        <v>172</v>
      </c>
      <c r="D67" s="815"/>
      <c r="E67" s="815"/>
      <c r="F67" s="815"/>
      <c r="G67" s="815"/>
      <c r="H67" s="815"/>
      <c r="I67" s="815"/>
    </row>
    <row r="68" spans="3:9" ht="20.25" customHeight="1" x14ac:dyDescent="0.2">
      <c r="C68" s="815" t="s">
        <v>173</v>
      </c>
      <c r="D68" s="815"/>
      <c r="E68" s="815"/>
      <c r="F68" s="815"/>
      <c r="G68" s="815"/>
      <c r="H68" s="815"/>
      <c r="I68" s="815"/>
    </row>
    <row r="69" spans="3:9" ht="11.25" customHeight="1" x14ac:dyDescent="0.3">
      <c r="C69" s="361"/>
      <c r="F69" s="489"/>
      <c r="G69" s="183"/>
      <c r="H69" s="183"/>
      <c r="I69" s="523"/>
    </row>
    <row r="70" spans="3:9" ht="20.25" hidden="1" x14ac:dyDescent="0.3">
      <c r="C70" s="524" t="s">
        <v>83</v>
      </c>
      <c r="F70" s="489"/>
      <c r="G70" s="183"/>
      <c r="H70" s="183"/>
      <c r="I70" s="523"/>
    </row>
    <row r="71" spans="3:9" ht="38.25" hidden="1" customHeight="1" x14ac:dyDescent="0.2">
      <c r="C71" s="815" t="s">
        <v>84</v>
      </c>
      <c r="D71" s="815"/>
      <c r="E71" s="815"/>
      <c r="F71" s="815"/>
      <c r="G71" s="815"/>
      <c r="H71" s="815"/>
      <c r="I71" s="815"/>
    </row>
    <row r="72" spans="3:9" ht="37.5" hidden="1" customHeight="1" x14ac:dyDescent="0.2">
      <c r="C72" s="816" t="s">
        <v>85</v>
      </c>
      <c r="D72" s="816"/>
      <c r="E72" s="816"/>
      <c r="F72" s="816"/>
      <c r="G72" s="816"/>
      <c r="H72" s="816"/>
      <c r="I72" s="816"/>
    </row>
    <row r="73" spans="3:9" ht="18" hidden="1" x14ac:dyDescent="0.25">
      <c r="C73" s="361" t="s">
        <v>86</v>
      </c>
      <c r="F73" s="489"/>
      <c r="G73" s="523"/>
      <c r="H73" s="523"/>
      <c r="I73" s="523"/>
    </row>
    <row r="74" spans="3:9" ht="18" hidden="1" x14ac:dyDescent="0.25">
      <c r="C74" s="361" t="s">
        <v>87</v>
      </c>
      <c r="F74" s="489"/>
      <c r="G74" s="523"/>
      <c r="H74" s="523"/>
      <c r="I74" s="523"/>
    </row>
    <row r="75" spans="3:9" ht="29.25" hidden="1" customHeight="1" x14ac:dyDescent="0.2">
      <c r="C75" s="815" t="s">
        <v>88</v>
      </c>
      <c r="D75" s="815"/>
      <c r="E75" s="815"/>
      <c r="F75" s="815"/>
      <c r="G75" s="815"/>
      <c r="H75" s="815"/>
      <c r="I75" s="815"/>
    </row>
    <row r="76" spans="3:9" ht="18" hidden="1" x14ac:dyDescent="0.25">
      <c r="C76" s="184" t="s">
        <v>89</v>
      </c>
      <c r="F76" s="489"/>
      <c r="G76" s="523"/>
      <c r="H76" s="523"/>
      <c r="I76" s="523"/>
    </row>
    <row r="77" spans="3:9" ht="18" hidden="1" x14ac:dyDescent="0.25">
      <c r="C77" s="184">
        <v>1</v>
      </c>
      <c r="D77" s="184" t="s">
        <v>90</v>
      </c>
      <c r="F77" s="489"/>
      <c r="G77" s="523"/>
      <c r="H77" s="523"/>
      <c r="I77" s="523"/>
    </row>
    <row r="78" spans="3:9" ht="18" hidden="1" x14ac:dyDescent="0.25">
      <c r="C78" s="184">
        <v>2</v>
      </c>
      <c r="D78" s="184" t="s">
        <v>91</v>
      </c>
      <c r="F78" s="489"/>
    </row>
    <row r="79" spans="3:9" ht="18" hidden="1" x14ac:dyDescent="0.25">
      <c r="C79" s="184">
        <v>3</v>
      </c>
      <c r="D79" s="184" t="s">
        <v>92</v>
      </c>
      <c r="F79" s="489"/>
    </row>
    <row r="80" spans="3:9" ht="18" hidden="1" x14ac:dyDescent="0.25">
      <c r="C80" s="184">
        <v>4</v>
      </c>
      <c r="D80" s="184" t="s">
        <v>93</v>
      </c>
      <c r="F80" s="489"/>
    </row>
    <row r="81" spans="3:6" ht="18" hidden="1" x14ac:dyDescent="0.25">
      <c r="C81" s="184" t="s">
        <v>94</v>
      </c>
      <c r="D81" s="184"/>
      <c r="F81" s="489"/>
    </row>
    <row r="82" spans="3:6" ht="18" hidden="1" x14ac:dyDescent="0.25">
      <c r="C82" s="184" t="s">
        <v>95</v>
      </c>
      <c r="D82" s="184"/>
      <c r="F82" s="489"/>
    </row>
    <row r="83" spans="3:6" ht="18" hidden="1" x14ac:dyDescent="0.25">
      <c r="C83" s="184">
        <v>1</v>
      </c>
      <c r="D83" s="184" t="s">
        <v>96</v>
      </c>
      <c r="F83" s="73"/>
    </row>
    <row r="84" spans="3:6" ht="18" hidden="1" x14ac:dyDescent="0.25">
      <c r="C84" s="184">
        <v>2</v>
      </c>
      <c r="D84" s="184" t="s">
        <v>97</v>
      </c>
      <c r="F84" s="73"/>
    </row>
    <row r="85" spans="3:6" hidden="1" x14ac:dyDescent="0.2">
      <c r="C85" s="184" t="s">
        <v>94</v>
      </c>
      <c r="D85" s="184"/>
    </row>
    <row r="86" spans="3:6" hidden="1" x14ac:dyDescent="0.2">
      <c r="C86" s="184" t="s">
        <v>98</v>
      </c>
      <c r="D86" s="184"/>
    </row>
    <row r="87" spans="3:6" hidden="1" x14ac:dyDescent="0.2">
      <c r="C87" s="184" t="s">
        <v>99</v>
      </c>
      <c r="D87" s="184"/>
    </row>
  </sheetData>
  <mergeCells count="7">
    <mergeCell ref="C72:I72"/>
    <mergeCell ref="C75:I75"/>
    <mergeCell ref="C40:F40"/>
    <mergeCell ref="C62:I62"/>
    <mergeCell ref="C67:I67"/>
    <mergeCell ref="C68:I68"/>
    <mergeCell ref="C71:I7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M112"/>
  <sheetViews>
    <sheetView zoomScaleNormal="100" workbookViewId="0">
      <selection activeCell="O7" sqref="O7"/>
    </sheetView>
  </sheetViews>
  <sheetFormatPr defaultRowHeight="14.25" x14ac:dyDescent="0.2"/>
  <cols>
    <col min="1" max="1" width="29.125" customWidth="1"/>
    <col min="2" max="2" width="5" customWidth="1"/>
    <col min="3" max="3" width="14.875" customWidth="1"/>
    <col min="4" max="4" width="15.5" customWidth="1"/>
    <col min="5" max="7" width="14.875" customWidth="1"/>
    <col min="8" max="8" width="16.125" customWidth="1"/>
    <col min="9" max="9" width="18.25" customWidth="1"/>
    <col min="10" max="10" width="9.5" bestFit="1" customWidth="1"/>
    <col min="11" max="11" width="9.875" bestFit="1" customWidth="1"/>
    <col min="12" max="12" width="10.5" bestFit="1" customWidth="1"/>
    <col min="13" max="13" width="13.125" bestFit="1" customWidth="1"/>
  </cols>
  <sheetData>
    <row r="1" spans="2:9" ht="23.25" x14ac:dyDescent="0.2">
      <c r="B1" s="832" t="s">
        <v>174</v>
      </c>
      <c r="C1" s="832"/>
      <c r="D1" s="832"/>
      <c r="E1" s="832"/>
      <c r="F1" s="832"/>
      <c r="G1" s="832"/>
      <c r="H1" s="832"/>
      <c r="I1" s="832"/>
    </row>
    <row r="2" spans="2:9" ht="23.25" x14ac:dyDescent="0.2">
      <c r="B2" s="832" t="s">
        <v>175</v>
      </c>
      <c r="C2" s="832"/>
      <c r="D2" s="832"/>
      <c r="E2" s="832"/>
      <c r="F2" s="832"/>
      <c r="G2" s="832"/>
      <c r="H2" s="832"/>
      <c r="I2" s="832"/>
    </row>
    <row r="3" spans="2:9" ht="23.25" x14ac:dyDescent="0.2">
      <c r="B3" s="833">
        <v>45923</v>
      </c>
      <c r="C3" s="833"/>
      <c r="D3" s="833"/>
      <c r="E3" s="833"/>
      <c r="F3" s="833"/>
      <c r="G3" s="833"/>
      <c r="H3" s="833"/>
      <c r="I3" s="833"/>
    </row>
    <row r="4" spans="2:9" ht="27.75" customHeight="1" x14ac:dyDescent="0.2">
      <c r="B4" s="832" t="s">
        <v>176</v>
      </c>
      <c r="C4" s="832"/>
      <c r="D4" s="832"/>
      <c r="E4" s="832"/>
      <c r="F4" s="832"/>
      <c r="G4" s="832"/>
      <c r="H4" s="832"/>
      <c r="I4" s="832"/>
    </row>
    <row r="5" spans="2:9" ht="83.25" customHeight="1" x14ac:dyDescent="0.2">
      <c r="B5" s="834" t="s">
        <v>830</v>
      </c>
      <c r="C5" s="823"/>
      <c r="D5" s="823"/>
      <c r="E5" s="823"/>
      <c r="F5" s="823"/>
      <c r="G5" s="823"/>
      <c r="H5" s="823"/>
      <c r="I5" s="823"/>
    </row>
    <row r="6" spans="2:9" ht="81" customHeight="1" x14ac:dyDescent="0.2">
      <c r="B6" s="319"/>
      <c r="C6" s="319"/>
      <c r="D6" s="319"/>
      <c r="E6" s="319"/>
      <c r="F6" s="319"/>
      <c r="G6" s="319"/>
      <c r="H6" s="319"/>
      <c r="I6" s="319"/>
    </row>
    <row r="7" spans="2:9" ht="81" customHeight="1" x14ac:dyDescent="0.2">
      <c r="B7" s="319"/>
      <c r="C7" s="319"/>
      <c r="D7" s="319"/>
      <c r="E7" s="319"/>
      <c r="F7" s="319"/>
      <c r="G7" s="319"/>
      <c r="H7" s="319"/>
      <c r="I7" s="319"/>
    </row>
    <row r="8" spans="2:9" ht="109.5" customHeight="1" x14ac:dyDescent="0.2">
      <c r="B8" s="319"/>
      <c r="C8" s="319"/>
      <c r="D8" s="319"/>
      <c r="E8" s="319"/>
      <c r="F8" s="319"/>
      <c r="G8" s="319"/>
      <c r="H8" s="319"/>
      <c r="I8" s="319"/>
    </row>
    <row r="9" spans="2:9" ht="25.5" customHeight="1" x14ac:dyDescent="0.2">
      <c r="B9" s="830" t="s">
        <v>177</v>
      </c>
      <c r="C9" s="825"/>
      <c r="D9" s="825"/>
      <c r="E9" s="825"/>
      <c r="F9" s="825"/>
      <c r="G9" s="825"/>
      <c r="H9" s="825"/>
      <c r="I9" s="825"/>
    </row>
    <row r="10" spans="2:9" ht="15.75" x14ac:dyDescent="0.25">
      <c r="B10" s="297"/>
      <c r="C10" s="829"/>
      <c r="D10" s="829"/>
      <c r="E10" s="288"/>
      <c r="F10" s="294" t="s">
        <v>4</v>
      </c>
      <c r="G10" s="294" t="s">
        <v>178</v>
      </c>
      <c r="H10" s="289"/>
      <c r="I10" s="297"/>
    </row>
    <row r="11" spans="2:9" ht="15.75" customHeight="1" x14ac:dyDescent="0.25">
      <c r="B11" s="297"/>
      <c r="D11" s="828" t="s">
        <v>179</v>
      </c>
      <c r="E11" s="828"/>
      <c r="F11" s="124">
        <f>'August''25 AR Aging'!H35</f>
        <v>0</v>
      </c>
      <c r="G11" s="444">
        <f t="shared" ref="G11:G17" si="0">F11/F$18</f>
        <v>0</v>
      </c>
      <c r="H11" s="290"/>
      <c r="I11" s="297"/>
    </row>
    <row r="12" spans="2:9" ht="15.75" customHeight="1" x14ac:dyDescent="0.25">
      <c r="B12" s="297"/>
      <c r="D12" s="828" t="s">
        <v>180</v>
      </c>
      <c r="E12" s="828"/>
      <c r="F12" s="212">
        <f>'August''25 AR Aging'!H30</f>
        <v>68914</v>
      </c>
      <c r="G12" s="444">
        <f t="shared" si="0"/>
        <v>0.24319250489691618</v>
      </c>
      <c r="H12" s="290"/>
      <c r="I12" s="297"/>
    </row>
    <row r="13" spans="2:9" ht="15.75" customHeight="1" x14ac:dyDescent="0.25">
      <c r="B13" s="297"/>
      <c r="D13" s="828" t="s">
        <v>181</v>
      </c>
      <c r="E13" s="828"/>
      <c r="F13" s="212">
        <f>'August''25 AR Aging'!H43</f>
        <v>52871.65</v>
      </c>
      <c r="G13" s="444">
        <f t="shared" si="0"/>
        <v>0.18658021594353888</v>
      </c>
      <c r="H13" s="290"/>
      <c r="I13" s="297"/>
    </row>
    <row r="14" spans="2:9" ht="15.75" customHeight="1" x14ac:dyDescent="0.25">
      <c r="B14" s="297"/>
      <c r="D14" s="831" t="s">
        <v>182</v>
      </c>
      <c r="E14" s="831"/>
      <c r="F14" s="212">
        <f>'August''25 AR Aging'!E45+'August''25 AR Aging'!D46</f>
        <v>6200</v>
      </c>
      <c r="G14" s="444">
        <f t="shared" si="0"/>
        <v>2.1879350064731119E-2</v>
      </c>
      <c r="H14" s="290"/>
      <c r="I14" s="297"/>
    </row>
    <row r="15" spans="2:9" ht="15.75" customHeight="1" x14ac:dyDescent="0.25">
      <c r="B15" s="297"/>
      <c r="D15" s="828" t="s">
        <v>183</v>
      </c>
      <c r="E15" s="828"/>
      <c r="F15" s="212">
        <f>'August''25 AR Aging'!H7+'August''25 AR Aging'!H16+'August''25 AR Aging'!H38+'August''25 AR Aging'!H39+'August''25 AR Aging'!H44</f>
        <v>93796.69</v>
      </c>
      <c r="G15" s="444">
        <f t="shared" si="0"/>
        <v>0.33100171216501045</v>
      </c>
      <c r="H15" s="290"/>
      <c r="I15" s="297"/>
    </row>
    <row r="16" spans="2:9" ht="15.75" customHeight="1" x14ac:dyDescent="0.25">
      <c r="B16" s="297"/>
      <c r="D16" t="s">
        <v>184</v>
      </c>
      <c r="F16" s="755">
        <f>'August''25 AR Aging'!H23</f>
        <v>34745.660000000003</v>
      </c>
      <c r="G16" s="444">
        <f t="shared" si="0"/>
        <v>0.12261491264034283</v>
      </c>
      <c r="H16" s="290"/>
      <c r="I16" s="297"/>
    </row>
    <row r="17" spans="2:13" ht="15.75" customHeight="1" x14ac:dyDescent="0.25">
      <c r="B17" s="297"/>
      <c r="D17" s="828" t="s">
        <v>185</v>
      </c>
      <c r="E17" s="828"/>
      <c r="F17" s="212">
        <f>'August''25 AR Aging'!H20+'August''25 AR Aging'!H25+'August''25 AR Aging'!H18</f>
        <v>26844.22</v>
      </c>
      <c r="G17" s="444">
        <f t="shared" si="0"/>
        <v>9.4731304289460708E-2</v>
      </c>
      <c r="H17" s="290"/>
      <c r="I17" s="297"/>
    </row>
    <row r="18" spans="2:13" ht="16.5" customHeight="1" thickBot="1" x14ac:dyDescent="0.3">
      <c r="B18" s="297"/>
      <c r="C18" s="829" t="s">
        <v>825</v>
      </c>
      <c r="D18" s="829"/>
      <c r="E18" s="829"/>
      <c r="F18" s="295">
        <f>SUM(F11:F17)</f>
        <v>283372.21999999997</v>
      </c>
      <c r="G18" s="445">
        <f>SUM(G11:G17)</f>
        <v>1.0000000000000002</v>
      </c>
      <c r="H18" s="440"/>
      <c r="K18" s="124"/>
      <c r="M18" s="124"/>
    </row>
    <row r="19" spans="2:13" ht="38.25" customHeight="1" thickTop="1" x14ac:dyDescent="0.2">
      <c r="B19" s="319"/>
      <c r="C19" s="319"/>
      <c r="D19" s="319"/>
      <c r="E19" s="319"/>
      <c r="F19" s="564"/>
      <c r="G19" s="319"/>
      <c r="H19" s="319"/>
      <c r="I19" s="319"/>
    </row>
    <row r="20" spans="2:13" ht="88.5" customHeight="1" x14ac:dyDescent="0.2">
      <c r="B20" s="319"/>
      <c r="C20" s="319"/>
      <c r="D20" s="319"/>
      <c r="E20" s="319"/>
      <c r="F20" s="319"/>
      <c r="G20" s="319"/>
      <c r="H20" s="319"/>
      <c r="I20" s="319"/>
    </row>
    <row r="21" spans="2:13" ht="88.5" customHeight="1" x14ac:dyDescent="0.2">
      <c r="B21" s="319"/>
      <c r="C21" s="319"/>
      <c r="D21" s="319"/>
      <c r="E21" s="319"/>
      <c r="F21" s="319"/>
      <c r="G21" s="319"/>
      <c r="H21" s="319"/>
      <c r="I21" s="319"/>
    </row>
    <row r="22" spans="2:13" ht="88.5" customHeight="1" x14ac:dyDescent="0.2">
      <c r="B22" s="319"/>
      <c r="C22" s="319"/>
      <c r="D22" s="319"/>
      <c r="E22" s="319"/>
      <c r="F22" s="319"/>
      <c r="G22" s="319"/>
      <c r="H22" s="319"/>
      <c r="I22" s="319"/>
    </row>
    <row r="23" spans="2:13" ht="35.25" hidden="1" customHeight="1" x14ac:dyDescent="0.2">
      <c r="B23" s="825" t="s">
        <v>186</v>
      </c>
      <c r="C23" s="825"/>
      <c r="D23" s="825"/>
      <c r="E23" s="825"/>
      <c r="F23" s="825"/>
      <c r="G23" s="825"/>
      <c r="H23" s="825"/>
      <c r="I23" s="825"/>
    </row>
    <row r="24" spans="2:13" ht="15" customHeight="1" x14ac:dyDescent="0.2">
      <c r="B24" s="319"/>
      <c r="C24" s="319"/>
      <c r="D24" s="319"/>
      <c r="E24" s="319"/>
      <c r="F24" s="319"/>
      <c r="G24" s="319"/>
      <c r="H24" s="319"/>
      <c r="I24" s="319"/>
    </row>
    <row r="25" spans="2:13" ht="55.5" customHeight="1" x14ac:dyDescent="0.2">
      <c r="B25" s="830" t="s">
        <v>187</v>
      </c>
      <c r="C25" s="825"/>
      <c r="D25" s="825"/>
      <c r="E25" s="825"/>
      <c r="F25" s="825"/>
      <c r="G25" s="825"/>
      <c r="H25" s="825"/>
      <c r="I25" s="825"/>
    </row>
    <row r="26" spans="2:13" ht="38.25" customHeight="1" x14ac:dyDescent="0.2">
      <c r="B26" s="319"/>
      <c r="C26" s="319"/>
      <c r="D26" s="319"/>
      <c r="E26" s="319"/>
      <c r="F26" s="319"/>
      <c r="G26" s="319"/>
      <c r="H26" s="319"/>
      <c r="I26" s="319"/>
    </row>
    <row r="27" spans="2:13" ht="38.25" customHeight="1" x14ac:dyDescent="0.2">
      <c r="B27" s="319"/>
      <c r="C27" s="319"/>
      <c r="D27" s="319"/>
      <c r="E27" s="319"/>
      <c r="F27" s="319"/>
      <c r="G27" s="319"/>
      <c r="H27" s="319"/>
      <c r="I27" s="319"/>
      <c r="K27" s="454"/>
    </row>
    <row r="28" spans="2:13" ht="38.25" customHeight="1" x14ac:dyDescent="0.2">
      <c r="B28" s="319"/>
      <c r="C28" s="319"/>
      <c r="D28" s="319"/>
      <c r="E28" s="319"/>
      <c r="F28" s="319"/>
      <c r="G28" s="319"/>
      <c r="H28" s="319"/>
      <c r="I28" s="319"/>
      <c r="K28" s="454"/>
    </row>
    <row r="29" spans="2:13" ht="38.25" customHeight="1" x14ac:dyDescent="0.2">
      <c r="B29" s="319"/>
      <c r="C29" s="319"/>
      <c r="D29" s="319"/>
      <c r="E29" s="319"/>
      <c r="F29" s="319"/>
      <c r="G29" s="319"/>
      <c r="H29" s="319"/>
      <c r="I29" s="319"/>
    </row>
    <row r="30" spans="2:13" ht="38.25" customHeight="1" x14ac:dyDescent="0.2">
      <c r="B30" s="319"/>
      <c r="C30" s="319"/>
      <c r="D30" s="319"/>
      <c r="E30" s="319"/>
      <c r="F30" s="319"/>
      <c r="G30" s="319"/>
      <c r="H30" s="319"/>
      <c r="I30" s="319"/>
      <c r="K30" s="464"/>
    </row>
    <row r="31" spans="2:13" ht="38.25" customHeight="1" x14ac:dyDescent="0.2">
      <c r="B31" s="319"/>
      <c r="C31" s="319"/>
      <c r="D31" s="319"/>
      <c r="E31" s="319"/>
      <c r="F31" s="319"/>
      <c r="G31" s="319"/>
      <c r="H31" s="319"/>
      <c r="I31" s="319"/>
      <c r="K31" s="464"/>
    </row>
    <row r="32" spans="2:13" ht="38.25" customHeight="1" x14ac:dyDescent="0.2">
      <c r="B32" s="319"/>
      <c r="C32" s="319"/>
      <c r="D32" s="319"/>
      <c r="E32" s="319"/>
      <c r="F32" s="319"/>
      <c r="G32" s="319"/>
      <c r="H32" s="319"/>
      <c r="I32" s="319"/>
    </row>
    <row r="33" spans="2:9" ht="21.75" customHeight="1" x14ac:dyDescent="0.2">
      <c r="B33" s="319"/>
      <c r="C33" s="319"/>
      <c r="D33" s="319"/>
      <c r="E33" s="319"/>
      <c r="F33" s="319"/>
      <c r="G33" s="319"/>
      <c r="H33" s="319"/>
      <c r="I33" s="319"/>
    </row>
    <row r="34" spans="2:9" ht="30" hidden="1" customHeight="1" x14ac:dyDescent="0.2">
      <c r="B34" s="319"/>
      <c r="C34" s="408" t="s">
        <v>188</v>
      </c>
      <c r="D34" s="409" t="s">
        <v>189</v>
      </c>
      <c r="E34" s="408" t="s">
        <v>190</v>
      </c>
      <c r="F34" s="410" t="s">
        <v>191</v>
      </c>
      <c r="G34" s="410" t="s">
        <v>192</v>
      </c>
      <c r="H34" s="410" t="s">
        <v>193</v>
      </c>
      <c r="I34" s="410" t="s">
        <v>194</v>
      </c>
    </row>
    <row r="35" spans="2:9" ht="15" hidden="1" x14ac:dyDescent="0.2">
      <c r="B35" s="319"/>
      <c r="C35" s="22" t="s">
        <v>195</v>
      </c>
      <c r="D35" s="396">
        <v>-20</v>
      </c>
      <c r="E35" s="396">
        <v>71.92</v>
      </c>
      <c r="F35" s="396">
        <f>10762-10528</f>
        <v>234</v>
      </c>
      <c r="G35" s="396">
        <v>-190</v>
      </c>
      <c r="H35" s="401">
        <v>95.95</v>
      </c>
      <c r="I35" s="459">
        <f>H35/H$45</f>
        <v>5.2028752623263139E-4</v>
      </c>
    </row>
    <row r="36" spans="2:9" ht="15" hidden="1" x14ac:dyDescent="0.2">
      <c r="B36" s="319"/>
      <c r="C36" s="22" t="s">
        <v>196</v>
      </c>
      <c r="D36" s="403">
        <v>38489.56</v>
      </c>
      <c r="E36" s="403">
        <v>1957.5</v>
      </c>
      <c r="F36" s="403"/>
      <c r="G36" s="403">
        <v>3786.43</v>
      </c>
      <c r="H36" s="403">
        <f>D36+E36+G36+F36</f>
        <v>44233.49</v>
      </c>
      <c r="I36" s="459">
        <f>H36/H$45</f>
        <v>0.2398554777356523</v>
      </c>
    </row>
    <row r="37" spans="2:9" ht="15" hidden="1" x14ac:dyDescent="0.2">
      <c r="B37" s="319"/>
      <c r="C37" s="22" t="s">
        <v>197</v>
      </c>
      <c r="D37" s="403">
        <v>14903.11</v>
      </c>
      <c r="E37" s="403">
        <v>192.85</v>
      </c>
      <c r="F37" s="403">
        <v>-15478.91</v>
      </c>
      <c r="G37" s="403">
        <v>382.95</v>
      </c>
      <c r="H37" s="403">
        <f t="shared" ref="H37:H44" si="1">D37+E37+G37+F37</f>
        <v>0</v>
      </c>
      <c r="I37" s="459"/>
    </row>
    <row r="38" spans="2:9" ht="15" hidden="1" x14ac:dyDescent="0.2">
      <c r="B38" s="319"/>
      <c r="C38" s="22" t="s">
        <v>198</v>
      </c>
      <c r="D38" s="403">
        <v>44091.09</v>
      </c>
      <c r="E38" s="403">
        <f>3207.47-14</f>
        <v>3193.47</v>
      </c>
      <c r="F38" s="403"/>
      <c r="G38" s="403">
        <f>10544.9+14</f>
        <v>10558.9</v>
      </c>
      <c r="H38" s="403">
        <f t="shared" si="1"/>
        <v>57843.46</v>
      </c>
      <c r="I38" s="459">
        <f>H38/H$45</f>
        <v>0.31365534874555673</v>
      </c>
    </row>
    <row r="39" spans="2:9" ht="15" hidden="1" x14ac:dyDescent="0.2">
      <c r="B39" s="319"/>
      <c r="C39" s="22" t="s">
        <v>199</v>
      </c>
      <c r="D39" s="403">
        <v>21132.04</v>
      </c>
      <c r="E39" s="403">
        <v>549.69000000000005</v>
      </c>
      <c r="F39" s="403"/>
      <c r="G39" s="403">
        <v>-212.79</v>
      </c>
      <c r="H39" s="403">
        <f t="shared" si="1"/>
        <v>21468.94</v>
      </c>
      <c r="I39" s="459">
        <f>H39/H$45</f>
        <v>0.11641502536150901</v>
      </c>
    </row>
    <row r="40" spans="2:9" ht="15" hidden="1" x14ac:dyDescent="0.2">
      <c r="B40" s="319"/>
      <c r="C40" s="22" t="s">
        <v>200</v>
      </c>
      <c r="D40" s="403">
        <v>21091.57</v>
      </c>
      <c r="E40" s="403">
        <v>438.93</v>
      </c>
      <c r="F40" s="403">
        <v>-22513.11</v>
      </c>
      <c r="G40" s="403">
        <v>982.61</v>
      </c>
      <c r="H40" s="403">
        <f t="shared" si="1"/>
        <v>0</v>
      </c>
      <c r="I40" s="459"/>
    </row>
    <row r="41" spans="2:9" ht="15" hidden="1" x14ac:dyDescent="0.2">
      <c r="B41" s="319"/>
      <c r="C41" s="22" t="s">
        <v>201</v>
      </c>
      <c r="D41" s="403">
        <v>19933.830000000002</v>
      </c>
      <c r="E41" s="403">
        <v>860.03</v>
      </c>
      <c r="F41" s="403">
        <v>-10770</v>
      </c>
      <c r="G41" s="403">
        <v>-375.6</v>
      </c>
      <c r="H41" s="403">
        <f t="shared" si="1"/>
        <v>9648.260000000002</v>
      </c>
      <c r="I41" s="459">
        <f>H41/H$45</f>
        <v>5.2317554224588322E-2</v>
      </c>
    </row>
    <row r="42" spans="2:9" ht="15" hidden="1" x14ac:dyDescent="0.2">
      <c r="B42" s="319"/>
      <c r="C42" s="22" t="s">
        <v>202</v>
      </c>
      <c r="D42" s="403"/>
      <c r="E42" s="403">
        <v>140.21</v>
      </c>
      <c r="F42" s="403">
        <v>15482.91</v>
      </c>
      <c r="G42" s="403">
        <v>64.31</v>
      </c>
      <c r="H42" s="403">
        <f t="shared" si="1"/>
        <v>15687.43</v>
      </c>
      <c r="I42" s="459">
        <f>H42/H$45</f>
        <v>8.5064868657087747E-2</v>
      </c>
    </row>
    <row r="43" spans="2:9" ht="15" hidden="1" x14ac:dyDescent="0.2">
      <c r="B43" s="319"/>
      <c r="C43" s="22" t="s">
        <v>203</v>
      </c>
      <c r="D43" s="403"/>
      <c r="E43" s="403">
        <v>512.02</v>
      </c>
      <c r="F43" s="403">
        <v>22517.11</v>
      </c>
      <c r="G43" s="403">
        <v>817.76</v>
      </c>
      <c r="H43" s="403">
        <f t="shared" si="1"/>
        <v>23846.89</v>
      </c>
      <c r="I43" s="459">
        <f>H43/H$45</f>
        <v>0.12930942580971</v>
      </c>
    </row>
    <row r="44" spans="2:9" ht="17.25" hidden="1" customHeight="1" x14ac:dyDescent="0.2">
      <c r="B44" s="319"/>
      <c r="C44" s="22" t="s">
        <v>204</v>
      </c>
      <c r="D44" s="396"/>
      <c r="E44" s="345">
        <v>81.599999999999994</v>
      </c>
      <c r="F44" s="461">
        <v>10528</v>
      </c>
      <c r="G44" s="396">
        <v>983.24</v>
      </c>
      <c r="H44" s="396">
        <f t="shared" si="1"/>
        <v>11592.84</v>
      </c>
      <c r="I44" s="459">
        <f>H44/H$45</f>
        <v>6.2862011939663356E-2</v>
      </c>
    </row>
    <row r="45" spans="2:9" ht="15" hidden="1" x14ac:dyDescent="0.25">
      <c r="B45" s="319"/>
      <c r="C45" s="397" t="s">
        <v>205</v>
      </c>
      <c r="D45" s="398">
        <f>SUM(D35:D44)</f>
        <v>159621.20000000001</v>
      </c>
      <c r="E45" s="399">
        <f>SUM(E36:E44)</f>
        <v>7926.3000000000011</v>
      </c>
      <c r="F45" s="398">
        <f>SUM(F35:F44)</f>
        <v>0</v>
      </c>
      <c r="G45" s="398">
        <f>SUM(G35:G44)+72</f>
        <v>16869.809999999998</v>
      </c>
      <c r="H45" s="398">
        <f>SUM(H35:H44)</f>
        <v>184417.25999999998</v>
      </c>
      <c r="I45" s="460">
        <f>SUM(I35:I44)</f>
        <v>1.0000000000000002</v>
      </c>
    </row>
    <row r="46" spans="2:9" ht="15" hidden="1" x14ac:dyDescent="0.2">
      <c r="B46" s="319"/>
      <c r="C46" s="70"/>
      <c r="D46" s="455"/>
      <c r="E46" s="455"/>
      <c r="F46" s="455"/>
      <c r="G46" s="455"/>
      <c r="H46" s="456"/>
    </row>
    <row r="47" spans="2:9" ht="15" hidden="1" x14ac:dyDescent="0.2">
      <c r="B47" s="319"/>
      <c r="D47" s="212"/>
      <c r="E47" s="212"/>
      <c r="F47" s="212"/>
      <c r="G47" s="212"/>
      <c r="H47" s="453"/>
    </row>
    <row r="48" spans="2:9" ht="15" hidden="1" x14ac:dyDescent="0.2">
      <c r="B48" s="319"/>
      <c r="C48" s="827" t="s">
        <v>206</v>
      </c>
      <c r="D48" s="827"/>
      <c r="E48" s="827"/>
      <c r="F48" s="827"/>
      <c r="G48" s="319"/>
      <c r="H48" s="319"/>
      <c r="I48" s="319"/>
    </row>
    <row r="49" spans="2:9" ht="47.25" hidden="1" customHeight="1" x14ac:dyDescent="0.2">
      <c r="B49" s="319"/>
      <c r="C49" s="835" t="s">
        <v>207</v>
      </c>
      <c r="D49" s="836"/>
      <c r="E49" s="836"/>
      <c r="F49" s="836"/>
      <c r="G49" s="836"/>
      <c r="H49" s="836"/>
      <c r="I49" s="332"/>
    </row>
    <row r="50" spans="2:9" ht="47.25" hidden="1" customHeight="1" x14ac:dyDescent="0.2">
      <c r="B50" s="319"/>
      <c r="C50" s="835" t="s">
        <v>208</v>
      </c>
      <c r="D50" s="836"/>
      <c r="E50" s="836"/>
      <c r="F50" s="836"/>
      <c r="G50" s="836"/>
      <c r="H50" s="836"/>
      <c r="I50" s="332"/>
    </row>
    <row r="51" spans="2:9" ht="42" hidden="1" customHeight="1" x14ac:dyDescent="0.2">
      <c r="B51" s="319"/>
      <c r="C51" s="838" t="s">
        <v>209</v>
      </c>
      <c r="D51" s="839"/>
      <c r="E51" s="839"/>
      <c r="F51" s="839"/>
      <c r="G51" s="839"/>
      <c r="H51" s="839"/>
      <c r="I51" s="332"/>
    </row>
    <row r="52" spans="2:9" ht="47.25" hidden="1" customHeight="1" x14ac:dyDescent="0.2">
      <c r="B52" s="319"/>
      <c r="C52" s="835" t="s">
        <v>210</v>
      </c>
      <c r="D52" s="836"/>
      <c r="E52" s="836"/>
      <c r="F52" s="836"/>
      <c r="G52" s="836"/>
      <c r="H52" s="836"/>
      <c r="I52" s="332"/>
    </row>
    <row r="53" spans="2:9" ht="47.25" hidden="1" customHeight="1" x14ac:dyDescent="0.2">
      <c r="B53" s="319"/>
      <c r="C53" s="835" t="s">
        <v>211</v>
      </c>
      <c r="D53" s="836"/>
      <c r="E53" s="836"/>
      <c r="F53" s="836"/>
      <c r="G53" s="836"/>
      <c r="H53" s="836"/>
      <c r="I53" s="332"/>
    </row>
    <row r="54" spans="2:9" ht="47.25" hidden="1" customHeight="1" x14ac:dyDescent="0.2">
      <c r="B54" s="319"/>
      <c r="C54" s="835" t="s">
        <v>212</v>
      </c>
      <c r="D54" s="836"/>
      <c r="E54" s="836"/>
      <c r="F54" s="836"/>
      <c r="G54" s="836"/>
      <c r="H54" s="836"/>
      <c r="I54" s="332"/>
    </row>
    <row r="55" spans="2:9" ht="46.5" hidden="1" customHeight="1" x14ac:dyDescent="0.2">
      <c r="B55" s="319"/>
      <c r="C55" s="835" t="s">
        <v>213</v>
      </c>
      <c r="D55" s="836"/>
      <c r="E55" s="836"/>
      <c r="F55" s="836"/>
      <c r="G55" s="836"/>
      <c r="H55" s="836"/>
      <c r="I55" s="332"/>
    </row>
    <row r="56" spans="2:9" ht="38.25" hidden="1" customHeight="1" x14ac:dyDescent="0.2">
      <c r="B56" s="319"/>
      <c r="C56" s="835" t="s">
        <v>214</v>
      </c>
      <c r="D56" s="836"/>
      <c r="E56" s="836"/>
      <c r="F56" s="836"/>
      <c r="G56" s="836"/>
      <c r="H56" s="836"/>
      <c r="I56" s="332"/>
    </row>
    <row r="57" spans="2:9" ht="93" hidden="1" customHeight="1" x14ac:dyDescent="0.2">
      <c r="B57" s="319"/>
      <c r="C57" s="843" t="s">
        <v>215</v>
      </c>
      <c r="D57" s="836"/>
      <c r="E57" s="836"/>
      <c r="F57" s="836"/>
      <c r="G57" s="836"/>
      <c r="H57" s="836"/>
      <c r="I57" s="319"/>
    </row>
    <row r="58" spans="2:9" ht="32.25" customHeight="1" x14ac:dyDescent="0.25">
      <c r="B58" s="844" t="s">
        <v>216</v>
      </c>
      <c r="C58" s="844"/>
      <c r="D58" s="844"/>
      <c r="E58" s="844"/>
      <c r="F58" s="844"/>
      <c r="G58" s="844"/>
      <c r="H58" s="844"/>
      <c r="I58" s="844"/>
    </row>
    <row r="59" spans="2:9" ht="16.5" customHeight="1" x14ac:dyDescent="0.25">
      <c r="B59" s="441"/>
      <c r="C59" s="452" t="s">
        <v>217</v>
      </c>
      <c r="D59" s="441"/>
      <c r="E59" s="441"/>
      <c r="F59" s="441"/>
      <c r="G59" s="441"/>
      <c r="H59" s="441"/>
      <c r="I59" s="441"/>
    </row>
    <row r="60" spans="2:9" ht="15" x14ac:dyDescent="0.25">
      <c r="B60" s="319"/>
      <c r="C60" s="474" t="s">
        <v>218</v>
      </c>
      <c r="D60" s="320" t="s">
        <v>219</v>
      </c>
      <c r="E60" s="474" t="s">
        <v>220</v>
      </c>
      <c r="F60" s="841" t="s">
        <v>221</v>
      </c>
      <c r="G60" s="842"/>
      <c r="H60" s="474" t="s">
        <v>222</v>
      </c>
      <c r="I60" s="319"/>
    </row>
    <row r="61" spans="2:9" s="43" customFormat="1" ht="24" customHeight="1" x14ac:dyDescent="0.2">
      <c r="B61" s="291"/>
      <c r="C61" s="321">
        <v>45667</v>
      </c>
      <c r="D61" s="788" t="s">
        <v>223</v>
      </c>
      <c r="E61" s="410" t="s">
        <v>224</v>
      </c>
      <c r="F61" s="845" t="s">
        <v>225</v>
      </c>
      <c r="G61" s="846"/>
      <c r="H61" s="322">
        <v>2893.69</v>
      </c>
      <c r="I61" s="291"/>
    </row>
    <row r="62" spans="2:9" ht="30" customHeight="1" x14ac:dyDescent="0.2">
      <c r="B62" s="319"/>
      <c r="C62" s="321">
        <v>45703</v>
      </c>
      <c r="D62" s="325" t="s">
        <v>226</v>
      </c>
      <c r="E62" s="402" t="s">
        <v>227</v>
      </c>
      <c r="F62" s="840" t="s">
        <v>228</v>
      </c>
      <c r="G62" s="840"/>
      <c r="H62" s="322">
        <v>16789</v>
      </c>
      <c r="I62" s="319"/>
    </row>
    <row r="63" spans="2:9" ht="30" customHeight="1" x14ac:dyDescent="0.2">
      <c r="B63" s="319"/>
      <c r="C63" s="321">
        <v>45713</v>
      </c>
      <c r="D63" s="325" t="s">
        <v>229</v>
      </c>
      <c r="E63" s="402" t="s">
        <v>227</v>
      </c>
      <c r="F63" s="840" t="s">
        <v>230</v>
      </c>
      <c r="G63" s="840"/>
      <c r="H63" s="322">
        <f>76617-16789</f>
        <v>59828</v>
      </c>
      <c r="I63" s="319"/>
    </row>
    <row r="64" spans="2:9" ht="20.25" customHeight="1" x14ac:dyDescent="0.2">
      <c r="B64" s="319"/>
      <c r="C64" s="352"/>
      <c r="D64" s="353"/>
      <c r="E64" s="354"/>
      <c r="F64" s="353"/>
      <c r="G64" s="784" t="s">
        <v>231</v>
      </c>
      <c r="H64" s="785">
        <f>H61+H62+H63</f>
        <v>79510.69</v>
      </c>
      <c r="I64" s="319"/>
    </row>
    <row r="65" spans="2:9" ht="8.25" customHeight="1" x14ac:dyDescent="0.2">
      <c r="B65" s="319"/>
      <c r="C65" s="352"/>
      <c r="D65" s="353"/>
      <c r="E65" s="354"/>
      <c r="F65" s="353"/>
      <c r="G65" s="324"/>
      <c r="H65" s="504"/>
      <c r="I65" s="319"/>
    </row>
    <row r="66" spans="2:9" ht="21.75" hidden="1" customHeight="1" x14ac:dyDescent="0.2">
      <c r="B66" s="319"/>
      <c r="C66" s="837"/>
      <c r="D66" s="837"/>
      <c r="E66" s="837"/>
      <c r="F66" s="837"/>
      <c r="G66" s="837"/>
      <c r="H66" s="837"/>
      <c r="I66" s="319"/>
    </row>
    <row r="67" spans="2:9" ht="15" hidden="1" x14ac:dyDescent="0.2">
      <c r="B67" s="319"/>
      <c r="C67" s="355" t="s">
        <v>232</v>
      </c>
      <c r="D67" s="356" t="s">
        <v>233</v>
      </c>
      <c r="E67" s="357" t="s">
        <v>234</v>
      </c>
      <c r="F67" s="849" t="s">
        <v>221</v>
      </c>
      <c r="G67" s="850"/>
      <c r="H67" s="358" t="s">
        <v>235</v>
      </c>
      <c r="I67" s="319"/>
    </row>
    <row r="68" spans="2:9" ht="15" hidden="1" x14ac:dyDescent="0.2">
      <c r="B68" s="319"/>
      <c r="C68" s="321">
        <v>44958</v>
      </c>
      <c r="D68" s="402" t="s">
        <v>236</v>
      </c>
      <c r="E68" s="556">
        <v>169208</v>
      </c>
      <c r="F68" s="852" t="s">
        <v>237</v>
      </c>
      <c r="G68" s="853"/>
      <c r="H68" s="559"/>
      <c r="I68" s="319"/>
    </row>
    <row r="69" spans="2:9" ht="15" hidden="1" x14ac:dyDescent="0.2">
      <c r="B69" s="319"/>
      <c r="C69" s="321">
        <v>44958</v>
      </c>
      <c r="D69" s="402" t="s">
        <v>236</v>
      </c>
      <c r="E69" s="556">
        <v>189553</v>
      </c>
      <c r="F69" s="852" t="s">
        <v>238</v>
      </c>
      <c r="G69" s="853"/>
      <c r="H69" s="559"/>
      <c r="I69" s="319"/>
    </row>
    <row r="70" spans="2:9" ht="15" hidden="1" x14ac:dyDescent="0.2">
      <c r="B70" s="319"/>
      <c r="C70" s="321">
        <v>44958</v>
      </c>
      <c r="D70" s="402" t="s">
        <v>236</v>
      </c>
      <c r="E70" s="556">
        <v>196400</v>
      </c>
      <c r="F70" s="852" t="s">
        <v>239</v>
      </c>
      <c r="G70" s="853"/>
      <c r="H70" s="559"/>
      <c r="I70" s="319"/>
    </row>
    <row r="71" spans="2:9" ht="22.5" hidden="1" customHeight="1" x14ac:dyDescent="0.2">
      <c r="B71" s="319"/>
      <c r="C71" s="321">
        <v>44958</v>
      </c>
      <c r="D71" s="402" t="s">
        <v>236</v>
      </c>
      <c r="E71" s="556">
        <v>138945</v>
      </c>
      <c r="F71" s="852" t="s">
        <v>240</v>
      </c>
      <c r="G71" s="853"/>
      <c r="H71" s="559"/>
      <c r="I71" s="319"/>
    </row>
    <row r="72" spans="2:9" ht="15" hidden="1" x14ac:dyDescent="0.2">
      <c r="B72" s="319"/>
      <c r="C72" s="321">
        <v>44927</v>
      </c>
      <c r="D72" s="402" t="s">
        <v>236</v>
      </c>
      <c r="E72" s="556">
        <v>133109</v>
      </c>
      <c r="F72" s="819" t="s">
        <v>241</v>
      </c>
      <c r="G72" s="819"/>
      <c r="H72" s="559"/>
      <c r="I72" s="319"/>
    </row>
    <row r="73" spans="2:9" ht="15" hidden="1" x14ac:dyDescent="0.2">
      <c r="B73" s="319"/>
      <c r="C73" s="321">
        <v>44927</v>
      </c>
      <c r="D73" s="402" t="s">
        <v>236</v>
      </c>
      <c r="E73" s="556">
        <v>116338</v>
      </c>
      <c r="F73" s="819" t="s">
        <v>242</v>
      </c>
      <c r="G73" s="819"/>
      <c r="H73" s="559"/>
      <c r="I73" s="319"/>
    </row>
    <row r="74" spans="2:9" ht="15" hidden="1" x14ac:dyDescent="0.2">
      <c r="B74" s="319"/>
      <c r="C74" s="323"/>
      <c r="D74" s="323"/>
      <c r="E74" s="557"/>
      <c r="F74" s="323"/>
      <c r="G74" s="324" t="s">
        <v>243</v>
      </c>
      <c r="H74" s="558">
        <f>SUM(H68:H73)</f>
        <v>0</v>
      </c>
      <c r="I74" s="319"/>
    </row>
    <row r="75" spans="2:9" ht="11.25" customHeight="1" x14ac:dyDescent="0.2">
      <c r="B75" s="319"/>
      <c r="C75" s="319"/>
      <c r="D75" s="319"/>
      <c r="E75" s="319"/>
      <c r="F75" s="319"/>
      <c r="G75" s="319"/>
      <c r="H75" s="319"/>
      <c r="I75" s="319"/>
    </row>
    <row r="76" spans="2:9" ht="43.5" customHeight="1" x14ac:dyDescent="0.2">
      <c r="B76" s="818" t="s">
        <v>244</v>
      </c>
      <c r="C76" s="818"/>
      <c r="D76" s="818"/>
      <c r="E76" s="818"/>
      <c r="F76" s="818"/>
      <c r="G76" s="818"/>
      <c r="H76" s="818"/>
      <c r="I76" s="818"/>
    </row>
    <row r="77" spans="2:9" ht="15.75" hidden="1" customHeight="1" x14ac:dyDescent="0.2">
      <c r="B77" s="291"/>
      <c r="D77" s="821" t="s">
        <v>245</v>
      </c>
      <c r="E77" s="821"/>
      <c r="F77" s="326">
        <v>1823.85</v>
      </c>
      <c r="G77" s="851" t="s">
        <v>246</v>
      </c>
      <c r="H77" s="851"/>
      <c r="I77" s="291"/>
    </row>
    <row r="78" spans="2:9" ht="15.75" hidden="1" customHeight="1" x14ac:dyDescent="0.2">
      <c r="B78" s="291"/>
      <c r="D78" s="821"/>
      <c r="E78" s="821"/>
      <c r="F78" s="326"/>
      <c r="G78" s="851"/>
      <c r="H78" s="851"/>
      <c r="I78" s="291"/>
    </row>
    <row r="79" spans="2:9" ht="15.75" hidden="1" customHeight="1" x14ac:dyDescent="0.2">
      <c r="B79" s="291"/>
      <c r="D79" s="821"/>
      <c r="E79" s="821"/>
      <c r="F79" s="326"/>
      <c r="G79" s="851"/>
      <c r="H79" s="851"/>
      <c r="I79" s="291"/>
    </row>
    <row r="80" spans="2:9" ht="15.75" hidden="1" customHeight="1" x14ac:dyDescent="0.2">
      <c r="B80" s="291"/>
      <c r="D80" s="821" t="s">
        <v>247</v>
      </c>
      <c r="E80" s="821"/>
      <c r="F80" s="326">
        <f>1689.92+2978.07</f>
        <v>4667.99</v>
      </c>
      <c r="G80" s="851" t="s">
        <v>248</v>
      </c>
      <c r="H80" s="851"/>
      <c r="I80" s="291"/>
    </row>
    <row r="81" spans="2:9" ht="16.5" hidden="1" thickBot="1" x14ac:dyDescent="0.25">
      <c r="B81" s="291"/>
      <c r="C81" s="299"/>
      <c r="D81" s="822" t="s">
        <v>249</v>
      </c>
      <c r="E81" s="822"/>
      <c r="F81" s="296">
        <f>SUM(F77:F80)</f>
        <v>6491.84</v>
      </c>
      <c r="G81" s="299"/>
      <c r="H81" s="299"/>
      <c r="I81" s="291"/>
    </row>
    <row r="82" spans="2:9" ht="6.75" customHeight="1" x14ac:dyDescent="0.2">
      <c r="B82" s="291"/>
      <c r="C82" s="299"/>
      <c r="D82" s="300"/>
      <c r="E82" s="300"/>
      <c r="F82" s="359"/>
      <c r="G82" s="299"/>
      <c r="H82" s="299"/>
      <c r="I82" s="291"/>
    </row>
    <row r="83" spans="2:9" ht="40.5" customHeight="1" x14ac:dyDescent="0.3">
      <c r="B83" s="824" t="s">
        <v>250</v>
      </c>
      <c r="C83" s="824"/>
      <c r="D83" s="824"/>
      <c r="E83" s="824"/>
      <c r="F83" s="824"/>
      <c r="G83" s="824"/>
      <c r="H83" s="824"/>
      <c r="I83" s="824"/>
    </row>
    <row r="84" spans="2:9" ht="11.25" hidden="1" customHeight="1" x14ac:dyDescent="0.2">
      <c r="B84" s="441"/>
      <c r="C84" s="441"/>
      <c r="D84" s="441"/>
      <c r="E84" s="441"/>
      <c r="F84" s="441"/>
      <c r="G84" s="441"/>
      <c r="H84" s="441"/>
      <c r="I84" s="441"/>
    </row>
    <row r="85" spans="2:9" ht="47.25" hidden="1" customHeight="1" x14ac:dyDescent="0.2">
      <c r="B85" s="823" t="s">
        <v>251</v>
      </c>
      <c r="C85" s="823"/>
      <c r="D85" s="823"/>
      <c r="E85" s="823"/>
      <c r="F85" s="823"/>
      <c r="G85" s="823"/>
      <c r="H85" s="823"/>
      <c r="I85" s="823"/>
    </row>
    <row r="86" spans="2:9" ht="8.25" customHeight="1" x14ac:dyDescent="0.2">
      <c r="B86" s="291"/>
      <c r="C86" s="299"/>
      <c r="D86" s="300"/>
      <c r="E86" s="300"/>
      <c r="F86" s="359"/>
      <c r="G86" s="299"/>
      <c r="H86" s="299"/>
      <c r="I86" s="291"/>
    </row>
    <row r="87" spans="2:9" ht="97.5" customHeight="1" x14ac:dyDescent="0.2">
      <c r="B87" s="825" t="s">
        <v>252</v>
      </c>
      <c r="C87" s="825"/>
      <c r="D87" s="825"/>
      <c r="E87" s="825"/>
      <c r="F87" s="825"/>
      <c r="G87" s="825"/>
      <c r="H87" s="825"/>
      <c r="I87" s="825"/>
    </row>
    <row r="88" spans="2:9" ht="47.25" x14ac:dyDescent="0.2">
      <c r="B88" s="298"/>
      <c r="C88" s="826" t="s">
        <v>253</v>
      </c>
      <c r="D88" s="826"/>
      <c r="E88" s="301" t="s">
        <v>254</v>
      </c>
      <c r="F88" s="292" t="s">
        <v>255</v>
      </c>
      <c r="G88" s="301" t="s">
        <v>256</v>
      </c>
      <c r="H88" s="301" t="s">
        <v>257</v>
      </c>
      <c r="I88" s="298"/>
    </row>
    <row r="89" spans="2:9" ht="15.75" customHeight="1" x14ac:dyDescent="0.2">
      <c r="B89" s="298"/>
      <c r="C89" s="820" t="s">
        <v>25</v>
      </c>
      <c r="D89" s="820"/>
      <c r="E89" s="820"/>
      <c r="F89" s="300"/>
      <c r="G89" s="300"/>
      <c r="H89" s="300"/>
      <c r="I89" s="298"/>
    </row>
    <row r="90" spans="2:9" ht="15.75" customHeight="1" x14ac:dyDescent="0.2">
      <c r="B90" s="298"/>
      <c r="C90" s="856" t="s">
        <v>258</v>
      </c>
      <c r="D90" s="856"/>
      <c r="E90" s="300">
        <v>397.45</v>
      </c>
      <c r="F90" s="300">
        <v>10000</v>
      </c>
      <c r="G90" s="300">
        <f>-'August''25 Revenues &amp; Expenses'!I36</f>
        <v>-2814.43</v>
      </c>
      <c r="H90" s="300">
        <f>E90+F90+G90</f>
        <v>7583.02</v>
      </c>
      <c r="I90" s="480"/>
    </row>
    <row r="91" spans="2:9" ht="15.75" customHeight="1" x14ac:dyDescent="0.2">
      <c r="B91" s="298"/>
      <c r="C91" s="856" t="s">
        <v>259</v>
      </c>
      <c r="D91" s="856"/>
      <c r="E91" s="300">
        <f>'August''25 Revenues &amp; Expenses'!G34</f>
        <v>25000</v>
      </c>
      <c r="F91" s="300"/>
      <c r="G91" s="300">
        <f>-'August''25 Revenues &amp; Expenses'!I34</f>
        <v>-16490.669999999998</v>
      </c>
      <c r="H91" s="300">
        <f>E91+F91+G91</f>
        <v>8509.3300000000017</v>
      </c>
      <c r="I91" s="298"/>
    </row>
    <row r="92" spans="2:9" ht="15.75" hidden="1" customHeight="1" x14ac:dyDescent="0.2">
      <c r="B92" s="298"/>
      <c r="C92" s="856" t="s">
        <v>260</v>
      </c>
      <c r="D92" s="856"/>
      <c r="E92" s="300">
        <v>0</v>
      </c>
      <c r="F92" s="300"/>
      <c r="G92" s="300">
        <f>'August''25 Revenues &amp; Expenses'!I37*-1</f>
        <v>0</v>
      </c>
      <c r="H92" s="300">
        <f>'August''25 Revenues &amp; Expenses'!L35+'August''25 Revenues &amp; Expenses'!L37</f>
        <v>0</v>
      </c>
      <c r="I92" s="298"/>
    </row>
    <row r="93" spans="2:9" ht="15.75" customHeight="1" x14ac:dyDescent="0.2">
      <c r="B93" s="298"/>
      <c r="C93" s="820" t="s">
        <v>26</v>
      </c>
      <c r="D93" s="820"/>
      <c r="E93" s="300"/>
      <c r="F93" s="300"/>
      <c r="G93" s="300"/>
      <c r="H93" s="300"/>
      <c r="I93" s="298"/>
    </row>
    <row r="94" spans="2:9" ht="15.75" customHeight="1" x14ac:dyDescent="0.2">
      <c r="B94" s="298"/>
      <c r="C94" s="856" t="s">
        <v>261</v>
      </c>
      <c r="D94" s="856"/>
      <c r="E94" s="300">
        <v>55000</v>
      </c>
      <c r="F94" s="300"/>
      <c r="G94" s="300">
        <f>-'August''25 Revenues &amp; Expenses'!I40</f>
        <v>-36666.666666666664</v>
      </c>
      <c r="H94" s="300">
        <f>E94+F94+G94</f>
        <v>18333.333333333336</v>
      </c>
      <c r="I94" s="298"/>
    </row>
    <row r="95" spans="2:9" ht="15.75" hidden="1" customHeight="1" x14ac:dyDescent="0.2">
      <c r="B95" s="298"/>
      <c r="C95" s="820"/>
      <c r="D95" s="820"/>
      <c r="E95" s="300"/>
      <c r="F95" s="300"/>
      <c r="G95" s="300"/>
      <c r="H95" s="300"/>
      <c r="I95" s="298"/>
    </row>
    <row r="96" spans="2:9" ht="15.75" hidden="1" customHeight="1" x14ac:dyDescent="0.2">
      <c r="B96" s="298"/>
      <c r="C96" s="856"/>
      <c r="D96" s="856"/>
      <c r="E96" s="300">
        <v>0</v>
      </c>
      <c r="F96" s="300"/>
      <c r="G96" s="300">
        <f>-'August''25 Revenues &amp; Expenses'!I42</f>
        <v>0</v>
      </c>
      <c r="H96" s="300">
        <f>'August''25 Revenues &amp; Expenses'!L42</f>
        <v>0</v>
      </c>
      <c r="I96" s="298"/>
    </row>
    <row r="97" spans="2:12" ht="15.75" customHeight="1" x14ac:dyDescent="0.2">
      <c r="B97" s="298"/>
      <c r="C97" s="820" t="s">
        <v>262</v>
      </c>
      <c r="D97" s="820"/>
      <c r="E97" s="300"/>
      <c r="F97" s="300"/>
      <c r="G97" s="300"/>
      <c r="H97" s="300"/>
      <c r="I97" s="298"/>
    </row>
    <row r="98" spans="2:12" ht="15.75" customHeight="1" x14ac:dyDescent="0.2">
      <c r="B98" s="298"/>
      <c r="C98" s="821" t="s">
        <v>263</v>
      </c>
      <c r="D98" s="821"/>
      <c r="E98" s="300">
        <f>'August''25 Revenues &amp; Expenses'!H44</f>
        <v>12500</v>
      </c>
      <c r="F98" s="300">
        <v>25000</v>
      </c>
      <c r="G98" s="300">
        <f>-'August''25 Revenues &amp; Expenses'!I44-'August''25 Revenues &amp; Expenses'!I45</f>
        <v>-33333.313333333339</v>
      </c>
      <c r="H98" s="300">
        <f>E98+F98+G98</f>
        <v>4166.686666666661</v>
      </c>
      <c r="I98" s="298"/>
    </row>
    <row r="99" spans="2:12" ht="15.75" customHeight="1" x14ac:dyDescent="0.2">
      <c r="B99" s="298"/>
      <c r="C99" s="820" t="s">
        <v>264</v>
      </c>
      <c r="D99" s="820"/>
      <c r="E99" s="300"/>
      <c r="F99" s="300"/>
      <c r="G99" s="300"/>
      <c r="H99" s="300"/>
      <c r="I99" s="298"/>
    </row>
    <row r="100" spans="2:12" ht="15.75" customHeight="1" x14ac:dyDescent="0.2">
      <c r="B100" s="298"/>
      <c r="C100" s="821" t="s">
        <v>265</v>
      </c>
      <c r="D100" s="821"/>
      <c r="E100" s="300">
        <f>'August''25 Revenues &amp; Expenses'!G43</f>
        <v>125000</v>
      </c>
      <c r="F100" s="300"/>
      <c r="G100" s="300">
        <f>-'August''25 Revenues &amp; Expenses'!I43</f>
        <v>-90017.39</v>
      </c>
      <c r="H100" s="300">
        <f>E100+F100+G100</f>
        <v>34982.61</v>
      </c>
      <c r="I100" s="298"/>
    </row>
    <row r="101" spans="2:12" ht="7.5" customHeight="1" x14ac:dyDescent="0.2">
      <c r="B101" s="298"/>
      <c r="C101" s="847"/>
      <c r="D101" s="847"/>
      <c r="E101" s="300"/>
      <c r="F101" s="300"/>
      <c r="G101" s="300"/>
      <c r="H101" s="300"/>
      <c r="I101" s="298"/>
    </row>
    <row r="102" spans="2:12" ht="15.75" customHeight="1" thickBot="1" x14ac:dyDescent="0.25">
      <c r="B102" s="298"/>
      <c r="C102" s="848" t="s">
        <v>266</v>
      </c>
      <c r="D102" s="848"/>
      <c r="E102" s="293">
        <f>SUM(E89:E101)</f>
        <v>217897.45</v>
      </c>
      <c r="F102" s="293">
        <f>SUM(F89:F101)</f>
        <v>35000</v>
      </c>
      <c r="G102" s="293">
        <f>SUM(G89:G101)</f>
        <v>-179322.47</v>
      </c>
      <c r="H102" s="293">
        <f>SUM(H89:H101)</f>
        <v>73574.98</v>
      </c>
      <c r="I102" s="298"/>
      <c r="K102" s="163"/>
      <c r="L102" s="733" t="b">
        <f>SUM(E102:G102)=H102</f>
        <v>1</v>
      </c>
    </row>
    <row r="103" spans="2:12" ht="11.25" customHeight="1" thickTop="1" x14ac:dyDescent="0.2">
      <c r="B103" s="298"/>
      <c r="C103" s="316"/>
      <c r="D103" s="316"/>
      <c r="E103" s="317"/>
      <c r="F103" s="317"/>
      <c r="G103" s="317"/>
      <c r="H103" s="317"/>
      <c r="I103" s="298"/>
    </row>
    <row r="104" spans="2:12" ht="67.5" customHeight="1" x14ac:dyDescent="0.2">
      <c r="B104" s="825" t="s">
        <v>267</v>
      </c>
      <c r="C104" s="825"/>
      <c r="D104" s="825"/>
      <c r="E104" s="825"/>
      <c r="F104" s="825"/>
      <c r="G104" s="825"/>
      <c r="H104" s="825"/>
      <c r="I104" s="825"/>
    </row>
    <row r="105" spans="2:12" ht="47.25" x14ac:dyDescent="0.2">
      <c r="B105" s="298"/>
      <c r="C105" s="826" t="s">
        <v>253</v>
      </c>
      <c r="D105" s="826"/>
      <c r="E105" s="301" t="s">
        <v>254</v>
      </c>
      <c r="F105" s="292" t="s">
        <v>255</v>
      </c>
      <c r="G105" s="301" t="s">
        <v>256</v>
      </c>
      <c r="H105" s="301" t="str">
        <f>H88</f>
        <v>Ending Balance at August, 2025</v>
      </c>
      <c r="I105" s="298"/>
    </row>
    <row r="106" spans="2:12" ht="15.75" customHeight="1" x14ac:dyDescent="0.2">
      <c r="B106" s="298"/>
      <c r="C106" s="855" t="s">
        <v>268</v>
      </c>
      <c r="D106" s="855"/>
      <c r="E106" s="300">
        <v>0</v>
      </c>
      <c r="F106" s="300">
        <v>52000</v>
      </c>
      <c r="G106" s="300">
        <f>-'August''25 Revenues &amp; Expenses'!K52</f>
        <v>-34666.666666666664</v>
      </c>
      <c r="H106" s="300">
        <f>E106+F106+G106</f>
        <v>17333.333333333336</v>
      </c>
      <c r="I106" s="298"/>
    </row>
    <row r="107" spans="2:12" ht="15.75" customHeight="1" x14ac:dyDescent="0.2">
      <c r="B107" s="298"/>
      <c r="C107" s="855" t="s">
        <v>269</v>
      </c>
      <c r="D107" s="855"/>
      <c r="E107" s="300">
        <v>0</v>
      </c>
      <c r="F107" s="300">
        <f>'August''25 Revenues &amp; Expenses'!G54</f>
        <v>17500</v>
      </c>
      <c r="G107" s="300">
        <f>-'August''25 Revenues &amp; Expenses'!K54</f>
        <v>-11666.64</v>
      </c>
      <c r="H107" s="300">
        <f>E107+F107+G107</f>
        <v>5833.3600000000006</v>
      </c>
      <c r="I107" s="298"/>
    </row>
    <row r="108" spans="2:12" ht="15.75" customHeight="1" x14ac:dyDescent="0.2">
      <c r="B108" s="298"/>
      <c r="C108" s="855" t="s">
        <v>270</v>
      </c>
      <c r="D108" s="855"/>
      <c r="E108" s="300">
        <f>'August''25 Revenues &amp; Expenses'!H60</f>
        <v>14616.25</v>
      </c>
      <c r="F108" s="300">
        <f>'August''25 Revenues &amp; Expenses'!I60</f>
        <v>3000</v>
      </c>
      <c r="G108" s="300">
        <f>-'August''25 Revenues &amp; Expenses'!K60</f>
        <v>-4403.8999999999996</v>
      </c>
      <c r="H108" s="300">
        <f>E108+F108+G108</f>
        <v>13212.35</v>
      </c>
      <c r="I108" s="298"/>
    </row>
    <row r="109" spans="2:12" ht="15.75" customHeight="1" x14ac:dyDescent="0.2">
      <c r="B109" s="298"/>
      <c r="C109" s="855" t="s">
        <v>271</v>
      </c>
      <c r="D109" s="855"/>
      <c r="E109" s="300">
        <f>'August''25 Revenues &amp; Expenses'!H61</f>
        <v>8546.7800000000007</v>
      </c>
      <c r="F109" s="300">
        <f>'August''25 Revenues &amp; Expenses'!I61</f>
        <v>2500</v>
      </c>
      <c r="G109" s="300">
        <f>-'August''25 Revenues &amp; Expenses'!K61</f>
        <v>-1004.54</v>
      </c>
      <c r="H109" s="300">
        <f>E109+F109+G109</f>
        <v>10042.240000000002</v>
      </c>
      <c r="I109" s="298"/>
    </row>
    <row r="110" spans="2:12" ht="15.75" hidden="1" customHeight="1" x14ac:dyDescent="0.2">
      <c r="B110" s="298"/>
      <c r="C110" s="821" t="s">
        <v>272</v>
      </c>
      <c r="D110" s="821"/>
      <c r="E110" s="300">
        <v>0</v>
      </c>
      <c r="F110" s="300"/>
      <c r="G110" s="300">
        <f>-'August''25 Revenues &amp; Expenses'!I39</f>
        <v>0</v>
      </c>
      <c r="H110" s="300">
        <f t="shared" ref="H110" si="2">E110+F110+G110</f>
        <v>0</v>
      </c>
      <c r="I110" s="298"/>
    </row>
    <row r="111" spans="2:12" ht="15.75" x14ac:dyDescent="0.2">
      <c r="B111" s="298"/>
      <c r="C111" s="855" t="s">
        <v>273</v>
      </c>
      <c r="D111" s="855"/>
      <c r="E111" s="300">
        <v>0</v>
      </c>
      <c r="F111" s="300">
        <f>'August''25 Revenues &amp; Expenses'!I62</f>
        <v>50000</v>
      </c>
      <c r="G111" s="300">
        <f>-'August''25 Revenues &amp; Expenses'!K62</f>
        <v>-12500</v>
      </c>
      <c r="H111" s="300">
        <f>E111+F111+G111</f>
        <v>37500</v>
      </c>
      <c r="I111" s="298"/>
      <c r="L111" s="454"/>
    </row>
    <row r="112" spans="2:12" ht="15.75" customHeight="1" thickBot="1" x14ac:dyDescent="0.3">
      <c r="B112" s="298"/>
      <c r="C112" s="854" t="s">
        <v>274</v>
      </c>
      <c r="D112" s="854"/>
      <c r="E112" s="293">
        <f>SUM(E106:E111)</f>
        <v>23163.03</v>
      </c>
      <c r="F112" s="293">
        <f>SUM(F106:F111)</f>
        <v>125000</v>
      </c>
      <c r="G112" s="293">
        <f>SUM(G106:G111)</f>
        <v>-64241.746666666666</v>
      </c>
      <c r="H112" s="293">
        <f>SUM(H106:H111)</f>
        <v>83921.28333333334</v>
      </c>
      <c r="I112" s="298"/>
      <c r="L112" s="733" t="b">
        <f>SUM(E112:G112)=H112</f>
        <v>1</v>
      </c>
    </row>
  </sheetData>
  <mergeCells count="76">
    <mergeCell ref="C90:D90"/>
    <mergeCell ref="C91:D91"/>
    <mergeCell ref="C99:D99"/>
    <mergeCell ref="C100:D100"/>
    <mergeCell ref="C97:D97"/>
    <mergeCell ref="C98:D98"/>
    <mergeCell ref="C92:D92"/>
    <mergeCell ref="C93:D93"/>
    <mergeCell ref="C95:D95"/>
    <mergeCell ref="C96:D96"/>
    <mergeCell ref="C94:D94"/>
    <mergeCell ref="C112:D112"/>
    <mergeCell ref="C106:D106"/>
    <mergeCell ref="C107:D107"/>
    <mergeCell ref="C111:D111"/>
    <mergeCell ref="C110:D110"/>
    <mergeCell ref="C109:D109"/>
    <mergeCell ref="C108:D108"/>
    <mergeCell ref="C105:D105"/>
    <mergeCell ref="B104:I104"/>
    <mergeCell ref="C101:D101"/>
    <mergeCell ref="C102:D102"/>
    <mergeCell ref="F67:G67"/>
    <mergeCell ref="G77:H77"/>
    <mergeCell ref="D80:E80"/>
    <mergeCell ref="G80:H80"/>
    <mergeCell ref="D78:E78"/>
    <mergeCell ref="G78:H78"/>
    <mergeCell ref="D79:E79"/>
    <mergeCell ref="G79:H79"/>
    <mergeCell ref="F68:G68"/>
    <mergeCell ref="F69:G69"/>
    <mergeCell ref="F70:G70"/>
    <mergeCell ref="F71:G71"/>
    <mergeCell ref="C50:H50"/>
    <mergeCell ref="C49:H49"/>
    <mergeCell ref="C52:H52"/>
    <mergeCell ref="C66:H66"/>
    <mergeCell ref="C51:H51"/>
    <mergeCell ref="F62:G62"/>
    <mergeCell ref="F60:G60"/>
    <mergeCell ref="C57:H57"/>
    <mergeCell ref="B58:I58"/>
    <mergeCell ref="C53:H53"/>
    <mergeCell ref="C54:H54"/>
    <mergeCell ref="C55:H55"/>
    <mergeCell ref="C56:H56"/>
    <mergeCell ref="F63:G63"/>
    <mergeCell ref="F61:G61"/>
    <mergeCell ref="B1:I1"/>
    <mergeCell ref="B2:I2"/>
    <mergeCell ref="B3:I3"/>
    <mergeCell ref="D11:E11"/>
    <mergeCell ref="D12:E12"/>
    <mergeCell ref="C10:D10"/>
    <mergeCell ref="B4:I4"/>
    <mergeCell ref="B5:I5"/>
    <mergeCell ref="B9:I9"/>
    <mergeCell ref="C48:F48"/>
    <mergeCell ref="D13:E13"/>
    <mergeCell ref="D15:E15"/>
    <mergeCell ref="D17:E17"/>
    <mergeCell ref="C18:E18"/>
    <mergeCell ref="B25:I25"/>
    <mergeCell ref="B23:I23"/>
    <mergeCell ref="D14:E14"/>
    <mergeCell ref="B76:I76"/>
    <mergeCell ref="F72:G72"/>
    <mergeCell ref="C89:E89"/>
    <mergeCell ref="F73:G73"/>
    <mergeCell ref="D77:E77"/>
    <mergeCell ref="D81:E81"/>
    <mergeCell ref="B85:I85"/>
    <mergeCell ref="B83:I83"/>
    <mergeCell ref="B87:I87"/>
    <mergeCell ref="C88:D88"/>
  </mergeCells>
  <pageMargins left="0.75" right="0.25" top="0.75" bottom="0.75" header="0.3" footer="0.3"/>
  <pageSetup scale="76" fitToHeight="0" orientation="portrait" r:id="rId1"/>
  <headerFooter>
    <oddFooter>&amp;CPage #&amp;P of &amp;N</oddFooter>
  </headerFooter>
  <rowBreaks count="2" manualBreakCount="2">
    <brk id="33" min="1" max="8" man="1"/>
    <brk id="57" min="1"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955A-34D5-480E-9CA8-973483F3DE91}">
  <dimension ref="C2:K2986"/>
  <sheetViews>
    <sheetView topLeftCell="A938" workbookViewId="0">
      <selection activeCell="C46" sqref="C46"/>
    </sheetView>
  </sheetViews>
  <sheetFormatPr defaultRowHeight="14.25" x14ac:dyDescent="0.2"/>
  <sheetData>
    <row r="2" spans="3:5" ht="15" x14ac:dyDescent="0.25">
      <c r="C2" s="454"/>
      <c r="D2" s="801">
        <v>2016</v>
      </c>
      <c r="E2" s="801">
        <v>2017</v>
      </c>
    </row>
    <row r="3" spans="3:5" ht="15" thickBot="1" x14ac:dyDescent="0.25">
      <c r="C3" s="802" t="s">
        <v>275</v>
      </c>
      <c r="D3" s="328" t="s">
        <v>276</v>
      </c>
      <c r="E3" s="328" t="s">
        <v>276</v>
      </c>
    </row>
    <row r="4" spans="3:5" ht="15" thickTop="1" x14ac:dyDescent="0.2">
      <c r="C4" s="803">
        <v>42370</v>
      </c>
      <c r="D4" s="329">
        <v>316020.78000000003</v>
      </c>
      <c r="E4" s="479">
        <v>354814.33</v>
      </c>
    </row>
    <row r="5" spans="3:5" x14ac:dyDescent="0.2">
      <c r="C5" s="804">
        <v>42373</v>
      </c>
      <c r="D5" s="330">
        <v>315970.78000000003</v>
      </c>
      <c r="E5" s="342">
        <v>354814</v>
      </c>
    </row>
    <row r="6" spans="3:5" x14ac:dyDescent="0.2">
      <c r="C6" s="804">
        <v>42374</v>
      </c>
      <c r="D6" s="330">
        <v>320557.63</v>
      </c>
      <c r="E6" s="342">
        <v>361866.86</v>
      </c>
    </row>
    <row r="7" spans="3:5" x14ac:dyDescent="0.2">
      <c r="C7" s="804">
        <v>42375</v>
      </c>
      <c r="D7" s="330">
        <f>D6</f>
        <v>320557.63</v>
      </c>
      <c r="E7" s="342">
        <v>363519.32</v>
      </c>
    </row>
    <row r="8" spans="3:5" x14ac:dyDescent="0.2">
      <c r="C8" s="804">
        <v>42376</v>
      </c>
      <c r="D8" s="330">
        <v>323108.86</v>
      </c>
      <c r="E8" s="342">
        <v>361866.66</v>
      </c>
    </row>
    <row r="9" spans="3:5" x14ac:dyDescent="0.2">
      <c r="C9" s="804">
        <v>42377</v>
      </c>
      <c r="D9" s="330">
        <f>D8</f>
        <v>323108.86</v>
      </c>
      <c r="E9" s="342">
        <v>363519</v>
      </c>
    </row>
    <row r="10" spans="3:5" x14ac:dyDescent="0.2">
      <c r="C10" s="804">
        <v>42380</v>
      </c>
      <c r="D10" s="330">
        <v>323239.86</v>
      </c>
      <c r="E10" s="342">
        <v>363543.47</v>
      </c>
    </row>
    <row r="11" spans="3:5" x14ac:dyDescent="0.2">
      <c r="C11" s="804">
        <v>42381</v>
      </c>
      <c r="D11" s="330">
        <v>288792.71999999997</v>
      </c>
      <c r="E11" s="342">
        <v>328707.83</v>
      </c>
    </row>
    <row r="12" spans="3:5" x14ac:dyDescent="0.2">
      <c r="C12" s="804">
        <v>42382</v>
      </c>
      <c r="D12" s="330">
        <f>D11</f>
        <v>288792.71999999997</v>
      </c>
      <c r="E12" s="342">
        <v>328708</v>
      </c>
    </row>
    <row r="13" spans="3:5" x14ac:dyDescent="0.2">
      <c r="C13" s="804">
        <v>42383</v>
      </c>
      <c r="D13" s="330">
        <v>277881.3</v>
      </c>
      <c r="E13" s="342">
        <v>321086.01</v>
      </c>
    </row>
    <row r="14" spans="3:5" x14ac:dyDescent="0.2">
      <c r="C14" s="804">
        <v>42384</v>
      </c>
      <c r="D14" s="330">
        <v>293922.15000000002</v>
      </c>
      <c r="E14" s="342">
        <v>334097.28000000003</v>
      </c>
    </row>
    <row r="15" spans="3:5" x14ac:dyDescent="0.2">
      <c r="C15" s="804">
        <v>42387</v>
      </c>
      <c r="D15" s="330">
        <f>D14</f>
        <v>293922.15000000002</v>
      </c>
      <c r="E15" s="342">
        <v>334097</v>
      </c>
    </row>
    <row r="16" spans="3:5" x14ac:dyDescent="0.2">
      <c r="C16" s="804">
        <v>42388</v>
      </c>
      <c r="D16" s="330">
        <f>D14</f>
        <v>293922.15000000002</v>
      </c>
      <c r="E16" s="342">
        <v>268850.96000000002</v>
      </c>
    </row>
    <row r="17" spans="3:5" x14ac:dyDescent="0.2">
      <c r="C17" s="804">
        <v>42389</v>
      </c>
      <c r="D17" s="330">
        <v>294002.2</v>
      </c>
      <c r="E17" s="342">
        <v>268851</v>
      </c>
    </row>
    <row r="18" spans="3:5" x14ac:dyDescent="0.2">
      <c r="C18" s="804">
        <v>42390</v>
      </c>
      <c r="D18" s="330">
        <v>285645.33</v>
      </c>
      <c r="E18" s="342">
        <v>369075.21</v>
      </c>
    </row>
    <row r="19" spans="3:5" x14ac:dyDescent="0.2">
      <c r="C19" s="804">
        <v>42391</v>
      </c>
      <c r="D19" s="330">
        <f>D18</f>
        <v>285645.33</v>
      </c>
      <c r="E19" s="342">
        <v>270983.21000000002</v>
      </c>
    </row>
    <row r="20" spans="3:5" x14ac:dyDescent="0.2">
      <c r="C20" s="804">
        <v>42394</v>
      </c>
      <c r="D20" s="330">
        <v>310939.57</v>
      </c>
      <c r="E20" s="342">
        <v>270983</v>
      </c>
    </row>
    <row r="21" spans="3:5" x14ac:dyDescent="0.2">
      <c r="C21" s="804">
        <v>42395</v>
      </c>
      <c r="D21" s="330">
        <v>285520.28000000003</v>
      </c>
      <c r="E21" s="342">
        <v>270723.98</v>
      </c>
    </row>
    <row r="22" spans="3:5" x14ac:dyDescent="0.2">
      <c r="C22" s="804">
        <v>42396</v>
      </c>
      <c r="D22" s="330">
        <f>D21</f>
        <v>285520.28000000003</v>
      </c>
      <c r="E22" s="342">
        <v>281353.09999999998</v>
      </c>
    </row>
    <row r="23" spans="3:5" x14ac:dyDescent="0.2">
      <c r="C23" s="804">
        <v>42397</v>
      </c>
      <c r="D23" s="330">
        <v>282022.58</v>
      </c>
      <c r="E23" s="342">
        <v>274313.84999999998</v>
      </c>
    </row>
    <row r="24" spans="3:5" x14ac:dyDescent="0.2">
      <c r="C24" s="804">
        <v>42398</v>
      </c>
      <c r="D24" s="330">
        <v>294848.15999999997</v>
      </c>
      <c r="E24" s="342">
        <v>296447.59999999998</v>
      </c>
    </row>
    <row r="25" spans="3:5" x14ac:dyDescent="0.2">
      <c r="C25" s="804">
        <v>42401</v>
      </c>
      <c r="D25" s="330">
        <v>295971.7</v>
      </c>
      <c r="E25" s="342">
        <v>295107.96000000002</v>
      </c>
    </row>
    <row r="26" spans="3:5" x14ac:dyDescent="0.2">
      <c r="C26" s="804">
        <v>42402</v>
      </c>
      <c r="D26" s="330">
        <v>342700.41</v>
      </c>
      <c r="E26" s="342">
        <v>314030.53000000003</v>
      </c>
    </row>
    <row r="27" spans="3:5" x14ac:dyDescent="0.2">
      <c r="C27" s="804">
        <v>42403</v>
      </c>
      <c r="D27" s="330">
        <f>D26</f>
        <v>342700.41</v>
      </c>
      <c r="E27" s="342">
        <v>314031</v>
      </c>
    </row>
    <row r="28" spans="3:5" x14ac:dyDescent="0.2">
      <c r="C28" s="804">
        <v>42404</v>
      </c>
      <c r="D28" s="330">
        <v>337638.63</v>
      </c>
      <c r="E28" s="342">
        <v>312808.53999999998</v>
      </c>
    </row>
    <row r="29" spans="3:5" x14ac:dyDescent="0.2">
      <c r="C29" s="804">
        <v>42405</v>
      </c>
      <c r="D29" s="330">
        <v>367843.39</v>
      </c>
      <c r="E29" s="342">
        <v>316461.53999999998</v>
      </c>
    </row>
    <row r="30" spans="3:5" x14ac:dyDescent="0.2">
      <c r="C30" s="804">
        <v>42408</v>
      </c>
      <c r="D30" s="330">
        <v>367773.39</v>
      </c>
      <c r="E30" s="342">
        <v>316462</v>
      </c>
    </row>
    <row r="31" spans="3:5" x14ac:dyDescent="0.2">
      <c r="C31" s="804">
        <v>42409</v>
      </c>
      <c r="D31" s="330">
        <v>339527.33</v>
      </c>
      <c r="E31" s="342">
        <v>289560.21999999997</v>
      </c>
    </row>
    <row r="32" spans="3:5" x14ac:dyDescent="0.2">
      <c r="C32" s="804">
        <v>42410</v>
      </c>
      <c r="D32" s="330">
        <f>D31</f>
        <v>339527.33</v>
      </c>
      <c r="E32" s="342">
        <v>297310.21999999997</v>
      </c>
    </row>
    <row r="33" spans="3:5" x14ac:dyDescent="0.2">
      <c r="C33" s="804">
        <v>42411</v>
      </c>
      <c r="D33" s="330">
        <v>336968.79</v>
      </c>
      <c r="E33" s="342">
        <v>352433.91</v>
      </c>
    </row>
    <row r="34" spans="3:5" x14ac:dyDescent="0.2">
      <c r="C34" s="804">
        <v>42412</v>
      </c>
      <c r="D34" s="330">
        <v>337055.76</v>
      </c>
      <c r="E34" s="342">
        <v>352434</v>
      </c>
    </row>
    <row r="35" spans="3:5" x14ac:dyDescent="0.2">
      <c r="C35" s="804">
        <v>42415</v>
      </c>
      <c r="D35" s="330">
        <f>D34</f>
        <v>337055.76</v>
      </c>
      <c r="E35" s="342">
        <v>352434</v>
      </c>
    </row>
    <row r="36" spans="3:5" x14ac:dyDescent="0.2">
      <c r="C36" s="804">
        <v>42416</v>
      </c>
      <c r="D36" s="330">
        <f>D35</f>
        <v>337055.76</v>
      </c>
      <c r="E36" s="342">
        <v>352434</v>
      </c>
    </row>
    <row r="37" spans="3:5" x14ac:dyDescent="0.2">
      <c r="C37" s="804">
        <v>42417</v>
      </c>
      <c r="D37" s="330">
        <v>365266.06</v>
      </c>
      <c r="E37" s="342">
        <v>352542.46</v>
      </c>
    </row>
    <row r="38" spans="3:5" x14ac:dyDescent="0.2">
      <c r="C38" s="804">
        <v>42418</v>
      </c>
      <c r="D38" s="330">
        <v>360871.98</v>
      </c>
      <c r="E38" s="342">
        <v>383231.99</v>
      </c>
    </row>
    <row r="39" spans="3:5" x14ac:dyDescent="0.2">
      <c r="C39" s="804">
        <v>42419</v>
      </c>
      <c r="D39" s="330">
        <f>D38</f>
        <v>360871.98</v>
      </c>
      <c r="E39" s="342">
        <v>404679.36</v>
      </c>
    </row>
    <row r="40" spans="3:5" x14ac:dyDescent="0.2">
      <c r="C40" s="804">
        <v>42421</v>
      </c>
      <c r="D40" s="330">
        <f>D39</f>
        <v>360871.98</v>
      </c>
      <c r="E40" s="342">
        <v>404679</v>
      </c>
    </row>
    <row r="41" spans="3:5" x14ac:dyDescent="0.2">
      <c r="C41" s="804">
        <v>42423</v>
      </c>
      <c r="D41" s="330">
        <v>355845.62</v>
      </c>
      <c r="E41" s="342">
        <v>368703.72</v>
      </c>
    </row>
    <row r="42" spans="3:5" x14ac:dyDescent="0.2">
      <c r="C42" s="804">
        <v>42424</v>
      </c>
      <c r="D42" s="330">
        <f>D41</f>
        <v>355845.62</v>
      </c>
      <c r="E42" s="342">
        <v>368203.72</v>
      </c>
    </row>
    <row r="43" spans="3:5" x14ac:dyDescent="0.2">
      <c r="C43" s="804">
        <v>42425</v>
      </c>
      <c r="D43" s="330">
        <v>345399.7</v>
      </c>
      <c r="E43" s="342">
        <v>349211.92</v>
      </c>
    </row>
    <row r="44" spans="3:5" x14ac:dyDescent="0.2">
      <c r="C44" s="804">
        <v>42426</v>
      </c>
      <c r="D44" s="330">
        <v>370500.69</v>
      </c>
      <c r="E44" s="342">
        <v>384176.45</v>
      </c>
    </row>
    <row r="45" spans="3:5" x14ac:dyDescent="0.2">
      <c r="C45" s="805">
        <v>42429</v>
      </c>
      <c r="D45" s="330">
        <v>389846.49</v>
      </c>
      <c r="E45" s="342">
        <v>384176</v>
      </c>
    </row>
    <row r="46" spans="3:5" x14ac:dyDescent="0.2">
      <c r="C46" s="804">
        <v>42430</v>
      </c>
      <c r="D46" s="330">
        <f>D45</f>
        <v>389846.49</v>
      </c>
      <c r="E46" s="342">
        <v>384176</v>
      </c>
    </row>
    <row r="47" spans="3:5" x14ac:dyDescent="0.2">
      <c r="C47" s="804">
        <v>42431</v>
      </c>
      <c r="D47" s="330">
        <f>D46</f>
        <v>389846.49</v>
      </c>
      <c r="E47" s="342">
        <v>384176</v>
      </c>
    </row>
    <row r="48" spans="3:5" x14ac:dyDescent="0.2">
      <c r="C48" s="804">
        <v>42432</v>
      </c>
      <c r="D48" s="330">
        <v>378391.97</v>
      </c>
      <c r="E48" s="342">
        <v>395396.43</v>
      </c>
    </row>
    <row r="49" spans="3:5" x14ac:dyDescent="0.2">
      <c r="C49" s="804">
        <v>42433</v>
      </c>
      <c r="D49" s="330">
        <v>424034.23</v>
      </c>
      <c r="E49" s="342">
        <v>395396</v>
      </c>
    </row>
    <row r="50" spans="3:5" x14ac:dyDescent="0.2">
      <c r="C50" s="804">
        <v>42436</v>
      </c>
      <c r="D50" s="330">
        <f>D49</f>
        <v>424034.23</v>
      </c>
      <c r="E50" s="342">
        <v>395396</v>
      </c>
    </row>
    <row r="51" spans="3:5" x14ac:dyDescent="0.2">
      <c r="C51" s="804">
        <v>42437</v>
      </c>
      <c r="D51" s="330">
        <v>386665.73</v>
      </c>
      <c r="E51" s="342">
        <v>361856.47</v>
      </c>
    </row>
    <row r="52" spans="3:5" x14ac:dyDescent="0.2">
      <c r="C52" s="804">
        <v>42438</v>
      </c>
      <c r="D52" s="330">
        <f>D51</f>
        <v>386665.73</v>
      </c>
      <c r="E52" s="342">
        <v>361856</v>
      </c>
    </row>
    <row r="53" spans="3:5" x14ac:dyDescent="0.2">
      <c r="C53" s="804">
        <v>42439</v>
      </c>
      <c r="D53" s="330">
        <v>389219.85</v>
      </c>
      <c r="E53" s="342">
        <v>349877.16</v>
      </c>
    </row>
    <row r="54" spans="3:5" x14ac:dyDescent="0.2">
      <c r="C54" s="804">
        <v>42440</v>
      </c>
      <c r="D54" s="330">
        <v>406100.98</v>
      </c>
      <c r="E54" s="342">
        <v>359297.81</v>
      </c>
    </row>
    <row r="55" spans="3:5" x14ac:dyDescent="0.2">
      <c r="C55" s="804">
        <v>42443</v>
      </c>
      <c r="D55" s="330">
        <v>407873.33</v>
      </c>
      <c r="E55" s="342">
        <v>361678.91</v>
      </c>
    </row>
    <row r="56" spans="3:5" x14ac:dyDescent="0.2">
      <c r="C56" s="804">
        <v>42444</v>
      </c>
      <c r="D56" s="330">
        <v>407992.23</v>
      </c>
      <c r="E56" s="342">
        <v>361679</v>
      </c>
    </row>
    <row r="57" spans="3:5" x14ac:dyDescent="0.2">
      <c r="C57" s="804">
        <v>42445</v>
      </c>
      <c r="D57" s="330">
        <v>433808.81</v>
      </c>
      <c r="E57" s="342">
        <v>370843.37</v>
      </c>
    </row>
    <row r="58" spans="3:5" x14ac:dyDescent="0.2">
      <c r="C58" s="804">
        <v>42446</v>
      </c>
      <c r="D58" s="330">
        <v>422290.94</v>
      </c>
      <c r="E58" s="342">
        <v>377566.07</v>
      </c>
    </row>
    <row r="59" spans="3:5" x14ac:dyDescent="0.2">
      <c r="C59" s="804">
        <v>42447</v>
      </c>
      <c r="D59" s="330">
        <v>468026.54</v>
      </c>
      <c r="E59" s="342">
        <v>370373.97</v>
      </c>
    </row>
    <row r="60" spans="3:5" x14ac:dyDescent="0.2">
      <c r="C60" s="804">
        <v>42450</v>
      </c>
      <c r="D60" s="330">
        <v>348026.54</v>
      </c>
      <c r="E60" s="342">
        <v>338340.3</v>
      </c>
    </row>
    <row r="61" spans="3:5" x14ac:dyDescent="0.2">
      <c r="C61" s="804">
        <v>42451</v>
      </c>
      <c r="D61" s="330">
        <v>312876.71000000002</v>
      </c>
      <c r="E61" s="342">
        <v>338340</v>
      </c>
    </row>
    <row r="62" spans="3:5" x14ac:dyDescent="0.2">
      <c r="C62" s="804">
        <v>42452</v>
      </c>
      <c r="D62" s="330">
        <v>314939.26</v>
      </c>
      <c r="E62" s="342">
        <v>338340</v>
      </c>
    </row>
    <row r="63" spans="3:5" x14ac:dyDescent="0.2">
      <c r="C63" s="804">
        <v>42453</v>
      </c>
      <c r="D63" s="330">
        <v>309254.23</v>
      </c>
      <c r="E63" s="342">
        <f>25944.71+322493.66</f>
        <v>348438.37</v>
      </c>
    </row>
    <row r="64" spans="3:5" x14ac:dyDescent="0.2">
      <c r="C64" s="804">
        <v>42454</v>
      </c>
      <c r="D64" s="330">
        <v>308314.94</v>
      </c>
      <c r="E64" s="342">
        <v>348438</v>
      </c>
    </row>
    <row r="65" spans="3:5" x14ac:dyDescent="0.2">
      <c r="C65" s="804">
        <v>42457</v>
      </c>
      <c r="D65" s="330">
        <f>D64</f>
        <v>308314.94</v>
      </c>
      <c r="E65" s="342">
        <f>322734.66+25944.71+79.97</f>
        <v>348759.33999999997</v>
      </c>
    </row>
    <row r="66" spans="3:5" x14ac:dyDescent="0.2">
      <c r="C66" s="804">
        <v>42458</v>
      </c>
      <c r="D66" s="330">
        <v>308501.75</v>
      </c>
      <c r="E66" s="342"/>
    </row>
    <row r="67" spans="3:5" x14ac:dyDescent="0.2">
      <c r="C67" s="804">
        <v>42459</v>
      </c>
      <c r="D67" s="330">
        <f>D66</f>
        <v>308501.75</v>
      </c>
      <c r="E67" s="342"/>
    </row>
    <row r="68" spans="3:5" x14ac:dyDescent="0.2">
      <c r="C68" s="804">
        <v>42460</v>
      </c>
      <c r="D68" s="330">
        <v>309191.53000000003</v>
      </c>
      <c r="E68" s="342"/>
    </row>
    <row r="69" spans="3:5" x14ac:dyDescent="0.2">
      <c r="C69" s="804">
        <v>42461</v>
      </c>
      <c r="D69" s="330">
        <f>D68</f>
        <v>309191.53000000003</v>
      </c>
      <c r="E69" s="342"/>
    </row>
    <row r="70" spans="3:5" x14ac:dyDescent="0.2">
      <c r="C70" s="804">
        <v>42464</v>
      </c>
      <c r="D70" s="330">
        <v>273521.59999999998</v>
      </c>
      <c r="E70" s="342"/>
    </row>
    <row r="71" spans="3:5" x14ac:dyDescent="0.2">
      <c r="C71" s="804">
        <v>42465</v>
      </c>
      <c r="D71" s="330">
        <f>D70</f>
        <v>273521.59999999998</v>
      </c>
      <c r="E71" s="342"/>
    </row>
    <row r="72" spans="3:5" x14ac:dyDescent="0.2">
      <c r="C72" s="804">
        <v>42466</v>
      </c>
      <c r="D72" s="330">
        <v>272690.59999999998</v>
      </c>
      <c r="E72" s="342"/>
    </row>
    <row r="73" spans="3:5" x14ac:dyDescent="0.2">
      <c r="C73" s="804">
        <v>42467</v>
      </c>
      <c r="D73" s="330">
        <v>269582.73</v>
      </c>
      <c r="E73" s="342"/>
    </row>
    <row r="74" spans="3:5" x14ac:dyDescent="0.2">
      <c r="C74" s="804">
        <v>42468</v>
      </c>
      <c r="D74" s="330">
        <f>D73</f>
        <v>269582.73</v>
      </c>
      <c r="E74" s="342"/>
    </row>
    <row r="75" spans="3:5" x14ac:dyDescent="0.2">
      <c r="C75" s="804">
        <v>42471</v>
      </c>
      <c r="D75" s="330">
        <v>269763.98</v>
      </c>
      <c r="E75" s="342"/>
    </row>
    <row r="76" spans="3:5" x14ac:dyDescent="0.2">
      <c r="C76" s="804">
        <v>42472</v>
      </c>
      <c r="D76" s="330">
        <f>D75</f>
        <v>269763.98</v>
      </c>
      <c r="E76" s="342"/>
    </row>
    <row r="77" spans="3:5" x14ac:dyDescent="0.2">
      <c r="C77" s="804">
        <v>42473</v>
      </c>
      <c r="D77" s="330">
        <v>269925.98</v>
      </c>
      <c r="E77" s="342"/>
    </row>
    <row r="78" spans="3:5" x14ac:dyDescent="0.2">
      <c r="C78" s="804">
        <v>42474</v>
      </c>
      <c r="D78" s="330">
        <v>262853.87</v>
      </c>
      <c r="E78" s="342"/>
    </row>
    <row r="79" spans="3:5" x14ac:dyDescent="0.2">
      <c r="C79" s="804">
        <v>42475</v>
      </c>
      <c r="D79" s="330">
        <v>285492.90999999997</v>
      </c>
      <c r="E79" s="342"/>
    </row>
    <row r="80" spans="3:5" x14ac:dyDescent="0.2">
      <c r="C80" s="804">
        <v>42478</v>
      </c>
      <c r="D80" s="330">
        <v>248936.49</v>
      </c>
      <c r="E80" s="342"/>
    </row>
    <row r="81" spans="3:5" x14ac:dyDescent="0.2">
      <c r="C81" s="804">
        <v>42479</v>
      </c>
      <c r="D81" s="330">
        <v>299276.93</v>
      </c>
      <c r="E81" s="342"/>
    </row>
    <row r="82" spans="3:5" x14ac:dyDescent="0.2">
      <c r="C82" s="804">
        <v>42480</v>
      </c>
      <c r="D82" s="330">
        <v>298671.93</v>
      </c>
      <c r="E82" s="342"/>
    </row>
    <row r="83" spans="3:5" x14ac:dyDescent="0.2">
      <c r="C83" s="804">
        <v>42481</v>
      </c>
      <c r="D83" s="330">
        <v>300188.76</v>
      </c>
      <c r="E83" s="342"/>
    </row>
    <row r="84" spans="3:5" x14ac:dyDescent="0.2">
      <c r="C84" s="804">
        <v>42482</v>
      </c>
      <c r="D84" s="330">
        <v>320014.86</v>
      </c>
      <c r="E84" s="342"/>
    </row>
    <row r="85" spans="3:5" x14ac:dyDescent="0.2">
      <c r="C85" s="804">
        <v>42485</v>
      </c>
      <c r="D85" s="330">
        <v>316702.44</v>
      </c>
      <c r="E85" s="342"/>
    </row>
    <row r="86" spans="3:5" x14ac:dyDescent="0.2">
      <c r="C86" s="804">
        <v>42486</v>
      </c>
      <c r="D86" s="330">
        <f>D85</f>
        <v>316702.44</v>
      </c>
      <c r="E86" s="342"/>
    </row>
    <row r="87" spans="3:5" x14ac:dyDescent="0.2">
      <c r="C87" s="804">
        <v>42487</v>
      </c>
      <c r="D87" s="330">
        <v>316945.44</v>
      </c>
      <c r="E87" s="342"/>
    </row>
    <row r="88" spans="3:5" x14ac:dyDescent="0.2">
      <c r="C88" s="804">
        <v>42488</v>
      </c>
      <c r="D88" s="330">
        <v>320979.96999999997</v>
      </c>
      <c r="E88" s="342"/>
    </row>
    <row r="89" spans="3:5" x14ac:dyDescent="0.2">
      <c r="C89" s="804">
        <v>42489</v>
      </c>
      <c r="D89" s="330">
        <f>D88</f>
        <v>320979.96999999997</v>
      </c>
      <c r="E89" s="342"/>
    </row>
    <row r="90" spans="3:5" x14ac:dyDescent="0.2">
      <c r="C90" s="804">
        <v>42492</v>
      </c>
      <c r="D90" s="330">
        <v>285992.84000000003</v>
      </c>
      <c r="E90" s="342"/>
    </row>
    <row r="91" spans="3:5" x14ac:dyDescent="0.2">
      <c r="C91" s="804">
        <v>42493</v>
      </c>
      <c r="D91" s="330">
        <v>286063.08</v>
      </c>
      <c r="E91" s="342"/>
    </row>
    <row r="92" spans="3:5" x14ac:dyDescent="0.2">
      <c r="C92" s="804">
        <v>42494</v>
      </c>
      <c r="D92" s="330">
        <v>314586.46000000002</v>
      </c>
      <c r="E92" s="342"/>
    </row>
    <row r="93" spans="3:5" x14ac:dyDescent="0.2">
      <c r="C93" s="804">
        <v>42495</v>
      </c>
      <c r="D93" s="330">
        <v>317747.52</v>
      </c>
      <c r="E93" s="342"/>
    </row>
    <row r="94" spans="3:5" x14ac:dyDescent="0.2">
      <c r="C94" s="804">
        <v>42496</v>
      </c>
      <c r="D94" s="330">
        <f>D93</f>
        <v>317747.52</v>
      </c>
      <c r="E94" s="342"/>
    </row>
    <row r="95" spans="3:5" x14ac:dyDescent="0.2">
      <c r="C95" s="804">
        <v>42499</v>
      </c>
      <c r="D95" s="330">
        <v>317647.52</v>
      </c>
      <c r="E95" s="342"/>
    </row>
    <row r="96" spans="3:5" x14ac:dyDescent="0.2">
      <c r="C96" s="804">
        <v>42500</v>
      </c>
      <c r="D96" s="330">
        <v>354645.16</v>
      </c>
      <c r="E96" s="342"/>
    </row>
    <row r="97" spans="3:5" x14ac:dyDescent="0.2">
      <c r="C97" s="804">
        <v>42501</v>
      </c>
      <c r="D97" s="330">
        <f>D96</f>
        <v>354645.16</v>
      </c>
      <c r="E97" s="342"/>
    </row>
    <row r="98" spans="3:5" x14ac:dyDescent="0.2">
      <c r="C98" s="804">
        <v>42502</v>
      </c>
      <c r="D98" s="330">
        <v>334676.08</v>
      </c>
      <c r="E98" s="342"/>
    </row>
    <row r="99" spans="3:5" x14ac:dyDescent="0.2">
      <c r="C99" s="804">
        <v>42503</v>
      </c>
      <c r="D99" s="330">
        <v>335053.34999999998</v>
      </c>
      <c r="E99" s="342"/>
    </row>
    <row r="100" spans="3:5" x14ac:dyDescent="0.2">
      <c r="C100" s="804">
        <v>42506</v>
      </c>
      <c r="D100" s="330">
        <v>299641.7</v>
      </c>
      <c r="E100" s="342"/>
    </row>
    <row r="101" spans="3:5" x14ac:dyDescent="0.2">
      <c r="C101" s="804">
        <v>42507</v>
      </c>
      <c r="D101" s="330">
        <f>D100</f>
        <v>299641.7</v>
      </c>
      <c r="E101" s="342"/>
    </row>
    <row r="102" spans="3:5" x14ac:dyDescent="0.2">
      <c r="C102" s="804">
        <v>42508</v>
      </c>
      <c r="D102" s="330">
        <v>316034.81</v>
      </c>
      <c r="E102" s="342"/>
    </row>
    <row r="103" spans="3:5" x14ac:dyDescent="0.2">
      <c r="C103" s="804">
        <v>42509</v>
      </c>
      <c r="D103" s="330">
        <v>320069.11</v>
      </c>
      <c r="E103" s="342"/>
    </row>
    <row r="104" spans="3:5" x14ac:dyDescent="0.2">
      <c r="C104" s="804">
        <v>42510</v>
      </c>
      <c r="D104" s="330">
        <v>328514.03000000003</v>
      </c>
      <c r="E104" s="342"/>
    </row>
    <row r="105" spans="3:5" x14ac:dyDescent="0.2">
      <c r="C105" s="804">
        <v>42513</v>
      </c>
      <c r="D105" s="330">
        <f>D104</f>
        <v>328514.03000000003</v>
      </c>
      <c r="E105" s="342"/>
    </row>
    <row r="106" spans="3:5" x14ac:dyDescent="0.2">
      <c r="C106" s="804">
        <v>42514</v>
      </c>
      <c r="D106" s="330">
        <v>334541.26</v>
      </c>
      <c r="E106" s="342"/>
    </row>
    <row r="107" spans="3:5" x14ac:dyDescent="0.2">
      <c r="C107" s="804">
        <v>42515</v>
      </c>
      <c r="D107" s="330">
        <v>329880.45</v>
      </c>
      <c r="E107" s="342"/>
    </row>
    <row r="108" spans="3:5" x14ac:dyDescent="0.2">
      <c r="C108" s="804">
        <v>42516</v>
      </c>
      <c r="D108" s="331">
        <v>337992.17</v>
      </c>
      <c r="E108" s="342"/>
    </row>
    <row r="109" spans="3:5" x14ac:dyDescent="0.2">
      <c r="C109" s="804">
        <v>42517</v>
      </c>
      <c r="D109" s="331">
        <v>347755.4</v>
      </c>
      <c r="E109" s="479"/>
    </row>
    <row r="110" spans="3:5" x14ac:dyDescent="0.2">
      <c r="C110" s="804">
        <v>42520</v>
      </c>
      <c r="D110" s="331">
        <v>347755.4</v>
      </c>
      <c r="E110" s="479"/>
    </row>
    <row r="111" spans="3:5" x14ac:dyDescent="0.2">
      <c r="C111" s="804">
        <v>42521</v>
      </c>
      <c r="D111" s="331">
        <v>312817.88</v>
      </c>
      <c r="E111" s="479"/>
    </row>
    <row r="112" spans="3:5" x14ac:dyDescent="0.2">
      <c r="C112" s="804">
        <v>42522</v>
      </c>
      <c r="D112" s="331">
        <v>314571.3</v>
      </c>
      <c r="E112" s="479"/>
    </row>
    <row r="113" spans="3:5" x14ac:dyDescent="0.2">
      <c r="C113" s="804">
        <v>42523</v>
      </c>
      <c r="D113" s="331">
        <v>302515.78000000003</v>
      </c>
      <c r="E113" s="479"/>
    </row>
    <row r="114" spans="3:5" x14ac:dyDescent="0.2">
      <c r="C114" s="804">
        <v>42524</v>
      </c>
      <c r="D114" s="331">
        <v>302516</v>
      </c>
      <c r="E114" s="479"/>
    </row>
    <row r="115" spans="3:5" x14ac:dyDescent="0.2">
      <c r="C115" s="804">
        <v>42527</v>
      </c>
      <c r="D115" s="331">
        <v>302516</v>
      </c>
      <c r="E115" s="479"/>
    </row>
    <row r="116" spans="3:5" x14ac:dyDescent="0.2">
      <c r="C116" s="804">
        <v>42528</v>
      </c>
      <c r="D116" s="331">
        <v>302516</v>
      </c>
      <c r="E116" s="479"/>
    </row>
    <row r="117" spans="3:5" x14ac:dyDescent="0.2">
      <c r="C117" s="804">
        <v>42529</v>
      </c>
      <c r="D117" s="331">
        <v>279865.95</v>
      </c>
      <c r="E117" s="479"/>
    </row>
    <row r="118" spans="3:5" x14ac:dyDescent="0.2">
      <c r="C118" s="804">
        <v>42530</v>
      </c>
      <c r="D118" s="331">
        <v>279866</v>
      </c>
      <c r="E118" s="479"/>
    </row>
    <row r="119" spans="3:5" x14ac:dyDescent="0.2">
      <c r="C119" s="804">
        <v>42531</v>
      </c>
      <c r="D119" s="331">
        <v>279866</v>
      </c>
      <c r="E119" s="479"/>
    </row>
    <row r="120" spans="3:5" x14ac:dyDescent="0.2">
      <c r="C120" s="804">
        <v>42534</v>
      </c>
      <c r="D120" s="331">
        <v>279866</v>
      </c>
      <c r="E120" s="479"/>
    </row>
    <row r="121" spans="3:5" x14ac:dyDescent="0.2">
      <c r="C121" s="804">
        <v>42535</v>
      </c>
      <c r="D121" s="331">
        <v>279866</v>
      </c>
      <c r="E121" s="479"/>
    </row>
    <row r="122" spans="3:5" x14ac:dyDescent="0.2">
      <c r="C122" s="804">
        <v>42536</v>
      </c>
      <c r="D122" s="331">
        <v>290096.01</v>
      </c>
      <c r="E122" s="479"/>
    </row>
    <row r="123" spans="3:5" x14ac:dyDescent="0.2">
      <c r="C123" s="804">
        <v>42537</v>
      </c>
      <c r="D123" s="331">
        <v>247423.5</v>
      </c>
      <c r="E123" s="479"/>
    </row>
    <row r="124" spans="3:5" x14ac:dyDescent="0.2">
      <c r="C124" s="804">
        <v>42538</v>
      </c>
      <c r="D124" s="331">
        <v>247424</v>
      </c>
      <c r="E124" s="479"/>
    </row>
    <row r="125" spans="3:5" x14ac:dyDescent="0.2">
      <c r="C125" s="804">
        <v>42541</v>
      </c>
      <c r="D125" s="331">
        <v>247424</v>
      </c>
      <c r="E125" s="479"/>
    </row>
    <row r="126" spans="3:5" x14ac:dyDescent="0.2">
      <c r="C126" s="804">
        <v>42542</v>
      </c>
      <c r="D126" s="331">
        <v>255459.85</v>
      </c>
      <c r="E126" s="479"/>
    </row>
    <row r="127" spans="3:5" x14ac:dyDescent="0.2">
      <c r="C127" s="804">
        <v>42543</v>
      </c>
      <c r="D127" s="331">
        <v>255460</v>
      </c>
      <c r="E127" s="479"/>
    </row>
    <row r="128" spans="3:5" x14ac:dyDescent="0.2">
      <c r="C128" s="806">
        <f>C127+1</f>
        <v>42544</v>
      </c>
      <c r="D128" s="331">
        <v>240780.4</v>
      </c>
      <c r="E128" s="479"/>
    </row>
    <row r="129" spans="3:5" x14ac:dyDescent="0.2">
      <c r="C129" s="806">
        <f>C128+1</f>
        <v>42545</v>
      </c>
      <c r="D129" s="331">
        <v>240780</v>
      </c>
      <c r="E129" s="479"/>
    </row>
    <row r="130" spans="3:5" x14ac:dyDescent="0.2">
      <c r="C130" s="806">
        <f>C125+7</f>
        <v>42548</v>
      </c>
      <c r="D130" s="331">
        <v>205735.12</v>
      </c>
      <c r="E130" s="479"/>
    </row>
    <row r="131" spans="3:5" x14ac:dyDescent="0.2">
      <c r="C131" s="806">
        <f>C126+7</f>
        <v>42549</v>
      </c>
      <c r="D131" s="331">
        <v>207489.37</v>
      </c>
      <c r="E131" s="479"/>
    </row>
    <row r="132" spans="3:5" x14ac:dyDescent="0.2">
      <c r="C132" s="806">
        <f t="shared" ref="C132:C195" si="0">C127+7</f>
        <v>42550</v>
      </c>
      <c r="D132" s="331">
        <v>213757.9</v>
      </c>
      <c r="E132" s="479"/>
    </row>
    <row r="133" spans="3:5" x14ac:dyDescent="0.2">
      <c r="C133" s="806">
        <f t="shared" si="0"/>
        <v>42551</v>
      </c>
      <c r="D133" s="331">
        <v>220332.56</v>
      </c>
      <c r="E133" s="479"/>
    </row>
    <row r="134" spans="3:5" x14ac:dyDescent="0.2">
      <c r="C134" s="806">
        <f t="shared" si="0"/>
        <v>42552</v>
      </c>
      <c r="D134" s="331">
        <v>212813.84</v>
      </c>
      <c r="E134" s="479"/>
    </row>
    <row r="135" spans="3:5" x14ac:dyDescent="0.2">
      <c r="C135" s="806">
        <f t="shared" si="0"/>
        <v>42555</v>
      </c>
      <c r="D135" s="331">
        <v>212814</v>
      </c>
      <c r="E135" s="479"/>
    </row>
    <row r="136" spans="3:5" x14ac:dyDescent="0.2">
      <c r="C136" s="806">
        <f t="shared" si="0"/>
        <v>42556</v>
      </c>
      <c r="D136" s="331">
        <v>236539.45</v>
      </c>
      <c r="E136" s="479"/>
    </row>
    <row r="137" spans="3:5" x14ac:dyDescent="0.2">
      <c r="C137" s="806">
        <f t="shared" si="0"/>
        <v>42557</v>
      </c>
      <c r="D137" s="331">
        <v>234224.42</v>
      </c>
      <c r="E137" s="479"/>
    </row>
    <row r="138" spans="3:5" x14ac:dyDescent="0.2">
      <c r="C138" s="806">
        <f t="shared" si="0"/>
        <v>42558</v>
      </c>
      <c r="D138" s="331">
        <v>234132.08</v>
      </c>
      <c r="E138" s="479"/>
    </row>
    <row r="139" spans="3:5" x14ac:dyDescent="0.2">
      <c r="C139" s="806">
        <f t="shared" si="0"/>
        <v>42559</v>
      </c>
      <c r="D139" s="331">
        <v>234132.08</v>
      </c>
      <c r="E139" s="479"/>
    </row>
    <row r="140" spans="3:5" x14ac:dyDescent="0.2">
      <c r="C140" s="806">
        <f t="shared" si="0"/>
        <v>42562</v>
      </c>
      <c r="D140" s="331">
        <v>199890.85</v>
      </c>
      <c r="E140" s="479"/>
    </row>
    <row r="141" spans="3:5" x14ac:dyDescent="0.2">
      <c r="C141" s="806">
        <f t="shared" si="0"/>
        <v>42563</v>
      </c>
      <c r="D141" s="331">
        <v>221114.27</v>
      </c>
      <c r="E141" s="479"/>
    </row>
    <row r="142" spans="3:5" x14ac:dyDescent="0.2">
      <c r="C142" s="806">
        <f t="shared" si="0"/>
        <v>42564</v>
      </c>
      <c r="D142" s="331">
        <v>221114</v>
      </c>
      <c r="E142" s="479"/>
    </row>
    <row r="143" spans="3:5" x14ac:dyDescent="0.2">
      <c r="C143" s="806">
        <f t="shared" si="0"/>
        <v>42565</v>
      </c>
      <c r="D143" s="331">
        <v>214752.25</v>
      </c>
      <c r="E143" s="479"/>
    </row>
    <row r="144" spans="3:5" x14ac:dyDescent="0.2">
      <c r="C144" s="806">
        <f t="shared" si="0"/>
        <v>42566</v>
      </c>
      <c r="D144" s="331">
        <v>294578.96999999997</v>
      </c>
      <c r="E144" s="479"/>
    </row>
    <row r="145" spans="3:5" x14ac:dyDescent="0.2">
      <c r="C145" s="806">
        <f t="shared" si="0"/>
        <v>42569</v>
      </c>
      <c r="D145" s="331">
        <v>294579</v>
      </c>
      <c r="E145" s="479"/>
    </row>
    <row r="146" spans="3:5" x14ac:dyDescent="0.2">
      <c r="C146" s="806">
        <f t="shared" si="0"/>
        <v>42570</v>
      </c>
      <c r="D146" s="331">
        <v>294579</v>
      </c>
      <c r="E146" s="479"/>
    </row>
    <row r="147" spans="3:5" x14ac:dyDescent="0.2">
      <c r="C147" s="806">
        <f t="shared" si="0"/>
        <v>42571</v>
      </c>
      <c r="D147" s="331">
        <v>328195.42</v>
      </c>
      <c r="E147" s="479"/>
    </row>
    <row r="148" spans="3:5" x14ac:dyDescent="0.2">
      <c r="C148" s="806">
        <f t="shared" si="0"/>
        <v>42572</v>
      </c>
      <c r="D148" s="331">
        <v>407865.86</v>
      </c>
      <c r="E148" s="479"/>
    </row>
    <row r="149" spans="3:5" x14ac:dyDescent="0.2">
      <c r="C149" s="806">
        <f t="shared" si="0"/>
        <v>42573</v>
      </c>
      <c r="D149" s="331">
        <v>409053.93</v>
      </c>
      <c r="E149" s="479"/>
    </row>
    <row r="150" spans="3:5" x14ac:dyDescent="0.2">
      <c r="C150" s="806">
        <f t="shared" si="0"/>
        <v>42576</v>
      </c>
      <c r="D150" s="331">
        <v>372421.56</v>
      </c>
      <c r="E150" s="479"/>
    </row>
    <row r="151" spans="3:5" x14ac:dyDescent="0.2">
      <c r="C151" s="806">
        <f t="shared" si="0"/>
        <v>42577</v>
      </c>
      <c r="D151" s="331">
        <v>375562.78</v>
      </c>
      <c r="E151" s="479"/>
    </row>
    <row r="152" spans="3:5" x14ac:dyDescent="0.2">
      <c r="C152" s="806">
        <f t="shared" si="0"/>
        <v>42578</v>
      </c>
      <c r="D152" s="331">
        <v>375563</v>
      </c>
      <c r="E152" s="479"/>
    </row>
    <row r="153" spans="3:5" x14ac:dyDescent="0.2">
      <c r="C153" s="806">
        <f t="shared" si="0"/>
        <v>42579</v>
      </c>
      <c r="D153" s="331">
        <v>366510.98</v>
      </c>
      <c r="E153" s="479"/>
    </row>
    <row r="154" spans="3:5" x14ac:dyDescent="0.2">
      <c r="C154" s="806">
        <f t="shared" si="0"/>
        <v>42580</v>
      </c>
      <c r="D154" s="331">
        <v>366609.48</v>
      </c>
      <c r="E154" s="479"/>
    </row>
    <row r="155" spans="3:5" x14ac:dyDescent="0.2">
      <c r="C155" s="806">
        <f t="shared" si="0"/>
        <v>42583</v>
      </c>
      <c r="D155" s="331">
        <v>382689.69</v>
      </c>
      <c r="E155" s="479"/>
    </row>
    <row r="156" spans="3:5" x14ac:dyDescent="0.2">
      <c r="C156" s="806">
        <f t="shared" si="0"/>
        <v>42584</v>
      </c>
      <c r="D156" s="331">
        <v>382690</v>
      </c>
      <c r="E156" s="479"/>
    </row>
    <row r="157" spans="3:5" x14ac:dyDescent="0.2">
      <c r="C157" s="806">
        <f t="shared" si="0"/>
        <v>42585</v>
      </c>
      <c r="D157" s="331">
        <v>387013.59</v>
      </c>
      <c r="E157" s="479"/>
    </row>
    <row r="158" spans="3:5" x14ac:dyDescent="0.2">
      <c r="C158" s="806">
        <f t="shared" si="0"/>
        <v>42586</v>
      </c>
      <c r="D158" s="331">
        <v>382543.7</v>
      </c>
      <c r="E158" s="479"/>
    </row>
    <row r="159" spans="3:5" x14ac:dyDescent="0.2">
      <c r="C159" s="806">
        <f t="shared" si="0"/>
        <v>42587</v>
      </c>
      <c r="D159" s="331">
        <v>382544</v>
      </c>
      <c r="E159" s="479"/>
    </row>
    <row r="160" spans="3:5" x14ac:dyDescent="0.2">
      <c r="C160" s="806">
        <f t="shared" si="0"/>
        <v>42590</v>
      </c>
      <c r="D160" s="331">
        <v>344510.17</v>
      </c>
      <c r="E160" s="479"/>
    </row>
    <row r="161" spans="3:5" x14ac:dyDescent="0.2">
      <c r="C161" s="806">
        <f t="shared" si="0"/>
        <v>42591</v>
      </c>
      <c r="D161" s="331">
        <v>350095.94</v>
      </c>
      <c r="E161" s="479"/>
    </row>
    <row r="162" spans="3:5" x14ac:dyDescent="0.2">
      <c r="C162" s="806">
        <f t="shared" si="0"/>
        <v>42592</v>
      </c>
      <c r="D162" s="331">
        <v>350096</v>
      </c>
      <c r="E162" s="479"/>
    </row>
    <row r="163" spans="3:5" x14ac:dyDescent="0.2">
      <c r="C163" s="806">
        <f t="shared" si="0"/>
        <v>42593</v>
      </c>
      <c r="D163" s="331">
        <v>355079.15</v>
      </c>
      <c r="E163" s="479"/>
    </row>
    <row r="164" spans="3:5" x14ac:dyDescent="0.2">
      <c r="C164" s="806">
        <f t="shared" si="0"/>
        <v>42594</v>
      </c>
      <c r="D164" s="331">
        <v>356502.11</v>
      </c>
      <c r="E164" s="479"/>
    </row>
    <row r="165" spans="3:5" x14ac:dyDescent="0.2">
      <c r="C165" s="806">
        <f t="shared" si="0"/>
        <v>42597</v>
      </c>
      <c r="D165" s="331">
        <v>408622.46</v>
      </c>
      <c r="E165" s="479"/>
    </row>
    <row r="166" spans="3:5" x14ac:dyDescent="0.2">
      <c r="C166" s="806">
        <f t="shared" si="0"/>
        <v>42598</v>
      </c>
      <c r="D166" s="331">
        <v>408622</v>
      </c>
      <c r="E166" s="479"/>
    </row>
    <row r="167" spans="3:5" x14ac:dyDescent="0.2">
      <c r="C167" s="806">
        <f t="shared" si="0"/>
        <v>42599</v>
      </c>
      <c r="D167" s="331">
        <v>408622</v>
      </c>
      <c r="E167" s="479"/>
    </row>
    <row r="168" spans="3:5" x14ac:dyDescent="0.2">
      <c r="C168" s="806">
        <f t="shared" si="0"/>
        <v>42600</v>
      </c>
      <c r="D168" s="331">
        <v>409931.67</v>
      </c>
      <c r="E168" s="479"/>
    </row>
    <row r="169" spans="3:5" x14ac:dyDescent="0.2">
      <c r="C169" s="806">
        <f t="shared" si="0"/>
        <v>42601</v>
      </c>
      <c r="D169" s="331">
        <v>410189.3</v>
      </c>
      <c r="E169" s="479"/>
    </row>
    <row r="170" spans="3:5" x14ac:dyDescent="0.2">
      <c r="C170" s="806">
        <f t="shared" si="0"/>
        <v>42604</v>
      </c>
      <c r="D170" s="331">
        <v>370399.56</v>
      </c>
      <c r="E170" s="479"/>
    </row>
    <row r="171" spans="3:5" x14ac:dyDescent="0.2">
      <c r="C171" s="806">
        <f t="shared" si="0"/>
        <v>42605</v>
      </c>
      <c r="D171" s="331">
        <v>370399.56</v>
      </c>
      <c r="E171" s="479"/>
    </row>
    <row r="172" spans="3:5" x14ac:dyDescent="0.2">
      <c r="C172" s="806">
        <f t="shared" si="0"/>
        <v>42606</v>
      </c>
      <c r="D172" s="331">
        <v>370400</v>
      </c>
      <c r="E172" s="479"/>
    </row>
    <row r="173" spans="3:5" x14ac:dyDescent="0.2">
      <c r="C173" s="806">
        <f t="shared" si="0"/>
        <v>42607</v>
      </c>
      <c r="D173" s="331">
        <v>359591.19</v>
      </c>
      <c r="E173" s="479"/>
    </row>
    <row r="174" spans="3:5" x14ac:dyDescent="0.2">
      <c r="C174" s="806">
        <f t="shared" si="0"/>
        <v>42608</v>
      </c>
      <c r="D174" s="331">
        <v>399163.14</v>
      </c>
      <c r="E174" s="479"/>
    </row>
    <row r="175" spans="3:5" x14ac:dyDescent="0.2">
      <c r="C175" s="806">
        <f t="shared" si="0"/>
        <v>42611</v>
      </c>
      <c r="D175" s="331">
        <v>407196.62</v>
      </c>
      <c r="E175" s="479"/>
    </row>
    <row r="176" spans="3:5" x14ac:dyDescent="0.2">
      <c r="C176" s="806">
        <f t="shared" si="0"/>
        <v>42612</v>
      </c>
      <c r="D176" s="331">
        <v>422526.97</v>
      </c>
      <c r="E176" s="479"/>
    </row>
    <row r="177" spans="3:11" x14ac:dyDescent="0.2">
      <c r="C177" s="806">
        <f t="shared" si="0"/>
        <v>42613</v>
      </c>
      <c r="D177" s="331">
        <v>479216.05</v>
      </c>
      <c r="E177" s="479"/>
    </row>
    <row r="178" spans="3:11" x14ac:dyDescent="0.2">
      <c r="C178" s="806">
        <f t="shared" si="0"/>
        <v>42614</v>
      </c>
      <c r="D178" s="331">
        <v>479216</v>
      </c>
      <c r="E178" s="479"/>
    </row>
    <row r="179" spans="3:11" x14ac:dyDescent="0.2">
      <c r="C179" s="806">
        <f t="shared" si="0"/>
        <v>42615</v>
      </c>
      <c r="D179" s="331">
        <v>479216</v>
      </c>
      <c r="E179" s="479"/>
    </row>
    <row r="180" spans="3:11" x14ac:dyDescent="0.2">
      <c r="C180" s="806">
        <f t="shared" si="0"/>
        <v>42618</v>
      </c>
      <c r="D180" s="331">
        <v>479216</v>
      </c>
      <c r="E180" s="479"/>
    </row>
    <row r="181" spans="3:11" x14ac:dyDescent="0.2">
      <c r="C181" s="806">
        <f t="shared" si="0"/>
        <v>42619</v>
      </c>
      <c r="D181" s="331">
        <v>440784.82</v>
      </c>
      <c r="E181" s="479"/>
    </row>
    <row r="182" spans="3:11" x14ac:dyDescent="0.2">
      <c r="C182" s="806">
        <f t="shared" si="0"/>
        <v>42620</v>
      </c>
      <c r="D182" s="331">
        <v>440785</v>
      </c>
      <c r="E182" s="479"/>
    </row>
    <row r="183" spans="3:11" x14ac:dyDescent="0.2">
      <c r="C183" s="806">
        <f t="shared" si="0"/>
        <v>42621</v>
      </c>
      <c r="D183" s="331">
        <v>445373.31</v>
      </c>
      <c r="E183" s="479"/>
    </row>
    <row r="184" spans="3:11" x14ac:dyDescent="0.2">
      <c r="C184" s="806">
        <f t="shared" si="0"/>
        <v>42622</v>
      </c>
      <c r="D184" s="331">
        <v>463896.46</v>
      </c>
      <c r="E184" s="479"/>
    </row>
    <row r="185" spans="3:11" x14ac:dyDescent="0.2">
      <c r="C185" s="806">
        <f t="shared" si="0"/>
        <v>42625</v>
      </c>
      <c r="D185" s="331">
        <v>463296.46</v>
      </c>
      <c r="E185" s="479"/>
      <c r="F185">
        <v>0</v>
      </c>
      <c r="G185">
        <v>0</v>
      </c>
      <c r="H185">
        <v>0</v>
      </c>
      <c r="I185">
        <v>0</v>
      </c>
      <c r="J185">
        <v>0</v>
      </c>
      <c r="K185">
        <v>0</v>
      </c>
    </row>
    <row r="186" spans="3:11" x14ac:dyDescent="0.2">
      <c r="C186" s="806">
        <f t="shared" si="0"/>
        <v>42626</v>
      </c>
      <c r="D186" s="331">
        <v>465024.54</v>
      </c>
      <c r="E186" s="479"/>
    </row>
    <row r="187" spans="3:11" x14ac:dyDescent="0.2">
      <c r="C187" s="806">
        <f t="shared" si="0"/>
        <v>42627</v>
      </c>
      <c r="D187" s="331">
        <v>465025</v>
      </c>
      <c r="E187" s="479"/>
    </row>
    <row r="188" spans="3:11" x14ac:dyDescent="0.2">
      <c r="C188" s="806">
        <f t="shared" si="0"/>
        <v>42628</v>
      </c>
      <c r="D188" s="331">
        <v>447444.34</v>
      </c>
      <c r="E188" s="479"/>
      <c r="H188" s="318"/>
      <c r="I188" t="s">
        <v>277</v>
      </c>
      <c r="J188" t="s">
        <v>278</v>
      </c>
    </row>
    <row r="189" spans="3:11" x14ac:dyDescent="0.2">
      <c r="C189" s="806">
        <f t="shared" si="0"/>
        <v>42629</v>
      </c>
      <c r="D189" s="331">
        <v>451135.42</v>
      </c>
      <c r="E189" s="479"/>
      <c r="H189" s="318">
        <v>42370</v>
      </c>
      <c r="I189" s="124">
        <v>369484</v>
      </c>
      <c r="J189" s="163">
        <v>31036</v>
      </c>
    </row>
    <row r="190" spans="3:11" x14ac:dyDescent="0.2">
      <c r="C190" s="806">
        <f t="shared" si="0"/>
        <v>42632</v>
      </c>
      <c r="D190" s="331">
        <v>413924.51</v>
      </c>
      <c r="E190" s="479"/>
      <c r="H190" s="318">
        <v>42401</v>
      </c>
      <c r="I190" s="124">
        <v>295493.53000000003</v>
      </c>
      <c r="J190" s="163">
        <v>31035.72</v>
      </c>
    </row>
    <row r="191" spans="3:11" x14ac:dyDescent="0.2">
      <c r="C191" s="806">
        <f t="shared" si="0"/>
        <v>42633</v>
      </c>
      <c r="D191" s="331">
        <v>395080.96000000002</v>
      </c>
      <c r="E191" s="479"/>
      <c r="H191" s="318">
        <v>42430</v>
      </c>
      <c r="I191" s="124">
        <v>255865.07</v>
      </c>
      <c r="J191" s="163">
        <v>151035.72</v>
      </c>
    </row>
    <row r="192" spans="3:11" x14ac:dyDescent="0.2">
      <c r="C192" s="806">
        <f t="shared" si="0"/>
        <v>42634</v>
      </c>
      <c r="D192" s="331">
        <v>393852.1</v>
      </c>
      <c r="E192" s="479"/>
      <c r="H192" s="318">
        <v>42461</v>
      </c>
      <c r="I192" s="124">
        <v>294098.96000000002</v>
      </c>
      <c r="J192" s="163">
        <v>151036</v>
      </c>
    </row>
    <row r="193" spans="3:10" x14ac:dyDescent="0.2">
      <c r="C193" s="806">
        <f t="shared" si="0"/>
        <v>42635</v>
      </c>
      <c r="D193" s="331">
        <v>397757.18</v>
      </c>
      <c r="E193" s="479"/>
      <c r="H193" s="318">
        <v>42491</v>
      </c>
      <c r="I193" s="124">
        <v>333922.02</v>
      </c>
      <c r="J193" s="163">
        <v>151087.09</v>
      </c>
    </row>
    <row r="194" spans="3:10" x14ac:dyDescent="0.2">
      <c r="C194" s="806">
        <f t="shared" si="0"/>
        <v>42636</v>
      </c>
      <c r="D194" s="331">
        <v>397757</v>
      </c>
      <c r="E194" s="479"/>
      <c r="H194" s="318">
        <v>42551</v>
      </c>
      <c r="I194" s="124">
        <v>384005.8</v>
      </c>
      <c r="J194" s="163">
        <v>151336.84</v>
      </c>
    </row>
    <row r="195" spans="3:10" x14ac:dyDescent="0.2">
      <c r="C195" s="806">
        <f t="shared" si="0"/>
        <v>42639</v>
      </c>
      <c r="D195" s="331">
        <v>397757</v>
      </c>
      <c r="E195" s="479"/>
      <c r="H195" s="318">
        <v>42582</v>
      </c>
      <c r="I195" s="124">
        <v>292004.15999999997</v>
      </c>
      <c r="J195" s="163">
        <v>151611.29999999999</v>
      </c>
    </row>
    <row r="196" spans="3:10" x14ac:dyDescent="0.2">
      <c r="C196" s="806">
        <f t="shared" ref="C196:C259" si="1">C191+7</f>
        <v>42640</v>
      </c>
      <c r="D196" s="331">
        <v>403105.59</v>
      </c>
      <c r="E196" s="479"/>
      <c r="H196" s="318">
        <v>42583</v>
      </c>
      <c r="I196" s="124">
        <v>182562.29</v>
      </c>
      <c r="J196" s="163">
        <v>151776.70000000001</v>
      </c>
    </row>
    <row r="197" spans="3:10" x14ac:dyDescent="0.2">
      <c r="C197" s="806">
        <f t="shared" si="1"/>
        <v>42641</v>
      </c>
      <c r="D197" s="331">
        <v>394170.51</v>
      </c>
      <c r="E197" s="479"/>
      <c r="H197" s="318">
        <v>42614</v>
      </c>
      <c r="I197" s="124">
        <v>242442.87</v>
      </c>
      <c r="J197" s="163">
        <v>151844.44</v>
      </c>
    </row>
    <row r="198" spans="3:10" x14ac:dyDescent="0.2">
      <c r="C198" s="806">
        <f t="shared" si="1"/>
        <v>42642</v>
      </c>
      <c r="D198" s="331">
        <v>397917.56</v>
      </c>
      <c r="E198" s="479"/>
      <c r="H198" s="318">
        <v>42644</v>
      </c>
      <c r="I198" s="124">
        <v>247104.37</v>
      </c>
      <c r="J198" s="163">
        <v>152036.04</v>
      </c>
    </row>
    <row r="199" spans="3:10" x14ac:dyDescent="0.2">
      <c r="C199" s="806">
        <f t="shared" si="1"/>
        <v>42643</v>
      </c>
      <c r="D199" s="331">
        <v>397918</v>
      </c>
      <c r="E199" s="479"/>
      <c r="H199" s="318">
        <v>42675</v>
      </c>
      <c r="I199" s="124">
        <v>246462.95</v>
      </c>
      <c r="J199" s="163">
        <v>152464.91</v>
      </c>
    </row>
    <row r="200" spans="3:10" x14ac:dyDescent="0.2">
      <c r="C200" s="806">
        <f t="shared" si="1"/>
        <v>42646</v>
      </c>
      <c r="D200" s="331">
        <v>361701.8</v>
      </c>
      <c r="E200" s="479"/>
      <c r="H200" s="318">
        <v>42705</v>
      </c>
      <c r="I200" s="124">
        <v>249839.51</v>
      </c>
      <c r="J200" s="163">
        <v>154533.13</v>
      </c>
    </row>
    <row r="201" spans="3:10" x14ac:dyDescent="0.2">
      <c r="C201" s="806">
        <f t="shared" si="1"/>
        <v>42647</v>
      </c>
      <c r="D201" s="331">
        <v>362031.95</v>
      </c>
      <c r="E201" s="479"/>
      <c r="H201" s="318">
        <v>42736</v>
      </c>
      <c r="I201" s="124">
        <v>351420</v>
      </c>
      <c r="J201" s="163">
        <v>155633.59</v>
      </c>
    </row>
    <row r="202" spans="3:10" x14ac:dyDescent="0.2">
      <c r="C202" s="806">
        <f t="shared" si="1"/>
        <v>42648</v>
      </c>
      <c r="D202" s="331">
        <v>362032</v>
      </c>
      <c r="E202" s="479"/>
      <c r="H202" s="318">
        <v>42767</v>
      </c>
      <c r="I202" s="124">
        <v>253330</v>
      </c>
      <c r="J202" s="163">
        <v>158448.25</v>
      </c>
    </row>
    <row r="203" spans="3:10" x14ac:dyDescent="0.2">
      <c r="C203" s="806">
        <f t="shared" si="1"/>
        <v>42649</v>
      </c>
      <c r="D203" s="331">
        <v>360433.13</v>
      </c>
      <c r="E203" s="479"/>
      <c r="H203" s="318">
        <v>42795</v>
      </c>
      <c r="I203" s="124">
        <v>280744</v>
      </c>
      <c r="J203" s="163">
        <v>159113.29</v>
      </c>
    </row>
    <row r="204" spans="3:10" x14ac:dyDescent="0.2">
      <c r="C204" s="806">
        <f t="shared" si="1"/>
        <v>42650</v>
      </c>
      <c r="D204" s="331">
        <v>361754.66</v>
      </c>
      <c r="E204" s="479"/>
      <c r="H204" s="318">
        <v>42826</v>
      </c>
      <c r="I204" s="124">
        <v>319478.15999999997</v>
      </c>
      <c r="J204" s="163">
        <v>159614.53</v>
      </c>
    </row>
    <row r="205" spans="3:10" x14ac:dyDescent="0.2">
      <c r="C205" s="806">
        <f t="shared" si="1"/>
        <v>42653</v>
      </c>
      <c r="D205" s="331">
        <v>361755</v>
      </c>
      <c r="E205" s="479"/>
      <c r="H205" s="318">
        <v>42856</v>
      </c>
      <c r="I205" s="124">
        <v>241828.1</v>
      </c>
      <c r="J205" s="163">
        <v>160436.21</v>
      </c>
    </row>
    <row r="206" spans="3:10" x14ac:dyDescent="0.2">
      <c r="C206" s="806">
        <f t="shared" si="1"/>
        <v>42654</v>
      </c>
      <c r="D206" s="331">
        <v>361755</v>
      </c>
      <c r="E206" s="479"/>
      <c r="H206" s="318">
        <v>42887</v>
      </c>
      <c r="I206" s="124">
        <v>248981.18</v>
      </c>
      <c r="J206" s="163">
        <v>160443.22</v>
      </c>
    </row>
    <row r="207" spans="3:10" x14ac:dyDescent="0.2">
      <c r="C207" s="806">
        <f t="shared" si="1"/>
        <v>42655</v>
      </c>
      <c r="D207" s="331">
        <v>365429.62</v>
      </c>
      <c r="E207" s="479"/>
      <c r="H207" s="318">
        <v>42917</v>
      </c>
      <c r="I207" s="124">
        <v>268937.63</v>
      </c>
      <c r="J207" s="163">
        <v>161526.35999999999</v>
      </c>
    </row>
    <row r="208" spans="3:10" x14ac:dyDescent="0.2">
      <c r="C208" s="806">
        <f t="shared" si="1"/>
        <v>42656</v>
      </c>
      <c r="D208" s="331">
        <v>375400.83</v>
      </c>
      <c r="E208" s="479"/>
      <c r="H208" s="318">
        <v>42948</v>
      </c>
      <c r="I208" s="124">
        <v>198251.6</v>
      </c>
      <c r="J208" s="163">
        <v>162013.01</v>
      </c>
    </row>
    <row r="209" spans="3:10" x14ac:dyDescent="0.2">
      <c r="C209" s="806">
        <f t="shared" si="1"/>
        <v>42657</v>
      </c>
      <c r="D209" s="331">
        <v>375484.03</v>
      </c>
      <c r="E209" s="479"/>
      <c r="H209" s="318">
        <v>42979</v>
      </c>
      <c r="I209" s="124">
        <v>178964.63</v>
      </c>
      <c r="J209" s="163">
        <v>163493.49</v>
      </c>
    </row>
    <row r="210" spans="3:10" x14ac:dyDescent="0.2">
      <c r="C210" s="806">
        <f t="shared" si="1"/>
        <v>42660</v>
      </c>
      <c r="D210" s="331">
        <v>339702.96</v>
      </c>
      <c r="E210" s="479"/>
      <c r="H210" s="318">
        <v>43009</v>
      </c>
      <c r="I210" s="124">
        <v>199171.39</v>
      </c>
      <c r="J210" s="163">
        <v>164090.28</v>
      </c>
    </row>
    <row r="211" spans="3:10" x14ac:dyDescent="0.2">
      <c r="C211" s="806">
        <f t="shared" si="1"/>
        <v>42661</v>
      </c>
      <c r="D211" s="331">
        <v>343741.39</v>
      </c>
      <c r="E211" s="479"/>
      <c r="H211" s="318">
        <v>43040</v>
      </c>
      <c r="I211" s="124">
        <v>180584.58</v>
      </c>
      <c r="J211" s="163">
        <v>164908.01</v>
      </c>
    </row>
    <row r="212" spans="3:10" x14ac:dyDescent="0.2">
      <c r="C212" s="806">
        <f t="shared" si="1"/>
        <v>42662</v>
      </c>
      <c r="D212" s="331">
        <v>343741</v>
      </c>
      <c r="E212" s="479"/>
      <c r="H212" s="318">
        <v>43070</v>
      </c>
      <c r="I212" s="124">
        <v>258260.86</v>
      </c>
      <c r="J212" s="163">
        <v>164937.87</v>
      </c>
    </row>
    <row r="213" spans="3:10" x14ac:dyDescent="0.2">
      <c r="C213" s="806">
        <f t="shared" si="1"/>
        <v>42663</v>
      </c>
      <c r="D213" s="331">
        <v>332267.31</v>
      </c>
      <c r="E213" s="479"/>
      <c r="H213" s="318">
        <v>43101</v>
      </c>
      <c r="I213" s="124">
        <v>297556.56</v>
      </c>
      <c r="J213" s="163">
        <v>167966.33</v>
      </c>
    </row>
    <row r="214" spans="3:10" x14ac:dyDescent="0.2">
      <c r="C214" s="806">
        <f t="shared" si="1"/>
        <v>42664</v>
      </c>
      <c r="D214" s="331">
        <v>332482.06</v>
      </c>
      <c r="E214" s="479"/>
      <c r="H214" s="318">
        <v>43132</v>
      </c>
      <c r="I214" s="124">
        <v>287550</v>
      </c>
      <c r="J214" s="163">
        <v>164746.72</v>
      </c>
    </row>
    <row r="215" spans="3:10" x14ac:dyDescent="0.2">
      <c r="C215" s="806">
        <f t="shared" si="1"/>
        <v>42667</v>
      </c>
      <c r="D215" s="331">
        <v>332482</v>
      </c>
      <c r="E215" s="479"/>
      <c r="H215" s="318">
        <v>43160</v>
      </c>
      <c r="I215" s="124">
        <v>277699.34999999998</v>
      </c>
      <c r="J215" s="163">
        <v>163400.39000000001</v>
      </c>
    </row>
    <row r="216" spans="3:10" x14ac:dyDescent="0.2">
      <c r="C216" s="806">
        <f t="shared" si="1"/>
        <v>42668</v>
      </c>
      <c r="D216" s="331">
        <v>337085.39</v>
      </c>
      <c r="E216" s="479"/>
      <c r="H216" s="318">
        <v>43191</v>
      </c>
      <c r="I216" s="124">
        <v>310068.02</v>
      </c>
      <c r="J216" s="163">
        <v>163874.63</v>
      </c>
    </row>
    <row r="217" spans="3:10" x14ac:dyDescent="0.2">
      <c r="C217" s="806">
        <f t="shared" si="1"/>
        <v>42669</v>
      </c>
      <c r="D217" s="331">
        <v>337085</v>
      </c>
      <c r="E217" s="479"/>
      <c r="H217" s="318">
        <v>43221</v>
      </c>
      <c r="I217" s="124">
        <v>338828.68</v>
      </c>
      <c r="J217" s="163">
        <v>165109.67000000001</v>
      </c>
    </row>
    <row r="218" spans="3:10" x14ac:dyDescent="0.2">
      <c r="C218" s="806">
        <f t="shared" si="1"/>
        <v>42670</v>
      </c>
      <c r="D218" s="331">
        <v>333113.26</v>
      </c>
      <c r="E218" s="479"/>
      <c r="H218" s="318">
        <v>43252</v>
      </c>
      <c r="I218" s="124">
        <v>316601.96000000002</v>
      </c>
      <c r="J218" s="163">
        <v>164894.5</v>
      </c>
    </row>
    <row r="219" spans="3:10" x14ac:dyDescent="0.2">
      <c r="C219" s="806">
        <f t="shared" si="1"/>
        <v>42671</v>
      </c>
      <c r="D219" s="331">
        <v>360993.03</v>
      </c>
      <c r="E219" s="479"/>
      <c r="H219" s="318">
        <v>43282</v>
      </c>
      <c r="I219" s="124">
        <v>282196.90999999997</v>
      </c>
      <c r="J219" s="163">
        <v>168308.43</v>
      </c>
    </row>
    <row r="220" spans="3:10" x14ac:dyDescent="0.2">
      <c r="C220" s="806">
        <f t="shared" si="1"/>
        <v>42674</v>
      </c>
      <c r="D220" s="331">
        <v>350567.25</v>
      </c>
      <c r="E220" s="479"/>
      <c r="H220" s="318">
        <v>43313</v>
      </c>
      <c r="I220" s="124">
        <v>287391.71999999997</v>
      </c>
      <c r="J220" s="163">
        <v>169314.31</v>
      </c>
    </row>
    <row r="221" spans="3:10" x14ac:dyDescent="0.2">
      <c r="C221" s="806">
        <f t="shared" si="1"/>
        <v>42675</v>
      </c>
      <c r="D221" s="331">
        <v>350939.21</v>
      </c>
      <c r="E221" s="479"/>
      <c r="H221" s="318">
        <v>43344</v>
      </c>
      <c r="I221" s="124">
        <v>327095.84000000003</v>
      </c>
      <c r="J221" s="163">
        <v>170138.99</v>
      </c>
    </row>
    <row r="222" spans="3:10" x14ac:dyDescent="0.2">
      <c r="C222" s="806">
        <f t="shared" si="1"/>
        <v>42676</v>
      </c>
      <c r="D222" s="331">
        <v>350939</v>
      </c>
      <c r="E222" s="479"/>
      <c r="H222" s="318">
        <v>43374</v>
      </c>
      <c r="I222" s="124">
        <v>233504.28</v>
      </c>
      <c r="J222" s="163">
        <v>164332.01</v>
      </c>
    </row>
    <row r="223" spans="3:10" x14ac:dyDescent="0.2">
      <c r="C223" s="806">
        <f t="shared" si="1"/>
        <v>42677</v>
      </c>
      <c r="D223" s="331">
        <v>344148.64</v>
      </c>
      <c r="E223" s="479"/>
      <c r="H223" s="318">
        <v>43405</v>
      </c>
      <c r="I223" s="124">
        <v>166530.44</v>
      </c>
      <c r="J223" s="163">
        <v>166031.76999999999</v>
      </c>
    </row>
    <row r="224" spans="3:10" x14ac:dyDescent="0.2">
      <c r="C224" s="806">
        <f t="shared" si="1"/>
        <v>42678</v>
      </c>
      <c r="D224" s="331">
        <v>399084.27</v>
      </c>
      <c r="E224" s="479"/>
      <c r="H224" s="318">
        <v>43435</v>
      </c>
      <c r="I224" s="124">
        <v>245292.72</v>
      </c>
      <c r="J224" s="163">
        <v>159621.23000000001</v>
      </c>
    </row>
    <row r="225" spans="3:10" x14ac:dyDescent="0.2">
      <c r="C225" s="806">
        <f t="shared" si="1"/>
        <v>42681</v>
      </c>
      <c r="D225" s="331">
        <v>399084</v>
      </c>
      <c r="E225" s="479"/>
      <c r="H225" s="318">
        <v>43466</v>
      </c>
      <c r="I225" s="124">
        <v>322895</v>
      </c>
      <c r="J225" s="163">
        <v>166873.93</v>
      </c>
    </row>
    <row r="226" spans="3:10" x14ac:dyDescent="0.2">
      <c r="C226" s="806">
        <f t="shared" si="1"/>
        <v>42682</v>
      </c>
      <c r="D226" s="331">
        <v>403667.29</v>
      </c>
      <c r="E226" s="479"/>
      <c r="H226" s="318">
        <v>43497</v>
      </c>
      <c r="I226" s="124">
        <v>388590.24</v>
      </c>
      <c r="J226" s="163">
        <v>170486.28</v>
      </c>
    </row>
    <row r="227" spans="3:10" x14ac:dyDescent="0.2">
      <c r="C227" s="806">
        <f t="shared" si="1"/>
        <v>42683</v>
      </c>
      <c r="D227" s="331">
        <v>403667</v>
      </c>
      <c r="E227" s="479"/>
      <c r="H227" s="318">
        <v>43525</v>
      </c>
      <c r="I227" s="124">
        <v>244069.19</v>
      </c>
      <c r="J227" s="163">
        <v>171537.16</v>
      </c>
    </row>
    <row r="228" spans="3:10" x14ac:dyDescent="0.2">
      <c r="C228" s="806">
        <f t="shared" si="1"/>
        <v>42684</v>
      </c>
      <c r="D228" s="331">
        <v>383477.25</v>
      </c>
      <c r="E228" s="479"/>
      <c r="H228" s="318">
        <v>43556</v>
      </c>
      <c r="I228" s="124">
        <v>265093.77</v>
      </c>
      <c r="J228" s="163">
        <v>174601.21</v>
      </c>
    </row>
    <row r="229" spans="3:10" x14ac:dyDescent="0.2">
      <c r="C229" s="806">
        <f t="shared" si="1"/>
        <v>42685</v>
      </c>
      <c r="D229" s="331">
        <v>383477</v>
      </c>
      <c r="E229" s="479"/>
      <c r="H229" s="318">
        <v>43586</v>
      </c>
      <c r="I229" s="124">
        <v>218979.44</v>
      </c>
      <c r="J229" s="163">
        <v>169831.32</v>
      </c>
    </row>
    <row r="230" spans="3:10" x14ac:dyDescent="0.2">
      <c r="C230" s="806">
        <f t="shared" si="1"/>
        <v>42688</v>
      </c>
      <c r="D230" s="331">
        <v>347717.6</v>
      </c>
      <c r="E230" s="479"/>
      <c r="H230" s="318">
        <v>43617</v>
      </c>
      <c r="I230" s="124">
        <v>271553.78999999998</v>
      </c>
      <c r="J230" s="163">
        <v>175962.43</v>
      </c>
    </row>
    <row r="231" spans="3:10" x14ac:dyDescent="0.2">
      <c r="C231" s="806">
        <f t="shared" si="1"/>
        <v>42689</v>
      </c>
      <c r="D231" s="331">
        <v>347836.75</v>
      </c>
      <c r="E231" s="479"/>
      <c r="H231" s="318">
        <v>43647</v>
      </c>
      <c r="I231" s="124">
        <v>272625.19</v>
      </c>
      <c r="J231" s="163">
        <v>176392</v>
      </c>
    </row>
    <row r="232" spans="3:10" x14ac:dyDescent="0.2">
      <c r="C232" s="806">
        <f t="shared" si="1"/>
        <v>42690</v>
      </c>
      <c r="D232" s="331">
        <v>347836.75</v>
      </c>
      <c r="E232" s="479"/>
      <c r="H232" s="318">
        <v>43678</v>
      </c>
      <c r="I232" s="124">
        <v>259503.83</v>
      </c>
      <c r="J232" s="163">
        <v>174581.16</v>
      </c>
    </row>
    <row r="233" spans="3:10" x14ac:dyDescent="0.2">
      <c r="C233" s="806">
        <f t="shared" si="1"/>
        <v>42691</v>
      </c>
      <c r="D233" s="331">
        <v>350935.56</v>
      </c>
      <c r="E233" s="479"/>
      <c r="H233" s="318">
        <v>43709</v>
      </c>
      <c r="I233" s="124">
        <v>234663.59</v>
      </c>
      <c r="J233" s="163">
        <v>175832.82</v>
      </c>
    </row>
    <row r="234" spans="3:10" x14ac:dyDescent="0.2">
      <c r="C234" s="806">
        <f t="shared" si="1"/>
        <v>42692</v>
      </c>
      <c r="D234" s="331">
        <v>350936</v>
      </c>
      <c r="E234" s="479"/>
      <c r="H234" s="318">
        <v>43739</v>
      </c>
      <c r="I234" s="124">
        <v>250597.51</v>
      </c>
      <c r="J234" s="163">
        <v>176684.91</v>
      </c>
    </row>
    <row r="235" spans="3:10" x14ac:dyDescent="0.2">
      <c r="C235" s="806">
        <f t="shared" si="1"/>
        <v>42695</v>
      </c>
      <c r="D235" s="331">
        <v>350936</v>
      </c>
      <c r="E235" s="479"/>
      <c r="H235" s="318">
        <v>43770</v>
      </c>
      <c r="I235" s="124">
        <v>213043.85</v>
      </c>
      <c r="J235" s="163">
        <v>180686.55</v>
      </c>
    </row>
    <row r="236" spans="3:10" x14ac:dyDescent="0.2">
      <c r="C236" s="806">
        <f t="shared" si="1"/>
        <v>42696</v>
      </c>
      <c r="D236" s="331">
        <v>351588.06</v>
      </c>
      <c r="E236" s="479"/>
      <c r="H236" s="318">
        <v>43800</v>
      </c>
      <c r="I236" s="124">
        <v>298499.96000000002</v>
      </c>
      <c r="J236" s="163">
        <v>184417.26</v>
      </c>
    </row>
    <row r="237" spans="3:10" x14ac:dyDescent="0.2">
      <c r="C237" s="806">
        <f t="shared" si="1"/>
        <v>42697</v>
      </c>
      <c r="D237" s="331">
        <v>349477.96</v>
      </c>
      <c r="E237" s="479"/>
      <c r="H237" s="318">
        <v>43831</v>
      </c>
      <c r="I237" s="124">
        <v>326352.59000000003</v>
      </c>
      <c r="J237" s="163">
        <v>186588.03</v>
      </c>
    </row>
    <row r="238" spans="3:10" x14ac:dyDescent="0.2">
      <c r="C238" s="806">
        <f t="shared" si="1"/>
        <v>42698</v>
      </c>
      <c r="D238" s="331">
        <v>349478</v>
      </c>
      <c r="E238" s="479"/>
      <c r="H238" s="318">
        <v>43862</v>
      </c>
      <c r="I238" s="124">
        <v>247842.14</v>
      </c>
      <c r="J238" s="163">
        <v>177685.24</v>
      </c>
    </row>
    <row r="239" spans="3:10" x14ac:dyDescent="0.2">
      <c r="C239" s="806">
        <f t="shared" si="1"/>
        <v>42699</v>
      </c>
      <c r="D239" s="331">
        <v>368170.66</v>
      </c>
      <c r="E239" s="479"/>
      <c r="H239" s="318">
        <v>43891</v>
      </c>
      <c r="I239" s="124">
        <v>256001.05</v>
      </c>
      <c r="J239" s="163">
        <v>162398.81</v>
      </c>
    </row>
    <row r="240" spans="3:10" x14ac:dyDescent="0.2">
      <c r="C240" s="806">
        <f t="shared" si="1"/>
        <v>42702</v>
      </c>
      <c r="D240" s="331">
        <v>368170.66</v>
      </c>
      <c r="E240" s="479"/>
      <c r="H240" s="318">
        <v>43922</v>
      </c>
      <c r="I240" s="124">
        <v>319553.11</v>
      </c>
      <c r="J240" s="163">
        <v>175055.83</v>
      </c>
    </row>
    <row r="241" spans="3:10" x14ac:dyDescent="0.2">
      <c r="C241" s="806">
        <f t="shared" si="1"/>
        <v>42703</v>
      </c>
      <c r="D241" s="331">
        <v>328902.64</v>
      </c>
      <c r="E241" s="479"/>
      <c r="H241" s="318">
        <v>43952</v>
      </c>
      <c r="I241" s="124">
        <v>373887.89</v>
      </c>
      <c r="J241" s="163">
        <v>180640.71</v>
      </c>
    </row>
    <row r="242" spans="3:10" x14ac:dyDescent="0.2">
      <c r="C242" s="806">
        <f t="shared" si="1"/>
        <v>42704</v>
      </c>
      <c r="D242" s="331">
        <v>338455.85</v>
      </c>
      <c r="E242" s="479"/>
      <c r="H242" s="318">
        <v>43983</v>
      </c>
      <c r="I242" s="124">
        <v>386833.41</v>
      </c>
      <c r="J242" s="163">
        <v>183627.14</v>
      </c>
    </row>
    <row r="243" spans="3:10" x14ac:dyDescent="0.2">
      <c r="C243" s="806">
        <f t="shared" si="1"/>
        <v>42705</v>
      </c>
      <c r="D243" s="331">
        <v>336997.18</v>
      </c>
      <c r="E243" s="479"/>
      <c r="H243" s="318">
        <v>44013</v>
      </c>
      <c r="I243" s="124">
        <v>399570.99</v>
      </c>
      <c r="J243" s="163">
        <v>191310.14</v>
      </c>
    </row>
    <row r="244" spans="3:10" x14ac:dyDescent="0.2">
      <c r="C244" s="806">
        <f t="shared" si="1"/>
        <v>42706</v>
      </c>
      <c r="D244" s="331">
        <v>342825.59</v>
      </c>
      <c r="E244" s="479"/>
      <c r="H244" s="318">
        <v>44044</v>
      </c>
      <c r="I244" s="124">
        <v>318623</v>
      </c>
      <c r="J244" s="163">
        <v>196731.42</v>
      </c>
    </row>
    <row r="245" spans="3:10" x14ac:dyDescent="0.2">
      <c r="C245" s="806">
        <f t="shared" si="1"/>
        <v>42709</v>
      </c>
      <c r="D245" s="331">
        <v>342826</v>
      </c>
      <c r="E245" s="479"/>
      <c r="H245" s="318">
        <v>44075</v>
      </c>
      <c r="I245" s="124">
        <v>310792</v>
      </c>
      <c r="J245" s="163">
        <v>192424.98</v>
      </c>
    </row>
    <row r="246" spans="3:10" x14ac:dyDescent="0.2">
      <c r="C246" s="806">
        <f t="shared" si="1"/>
        <v>42710</v>
      </c>
      <c r="D246" s="331">
        <v>344457.81</v>
      </c>
      <c r="E246" s="479"/>
      <c r="H246" s="318">
        <v>44105</v>
      </c>
      <c r="I246" s="124">
        <v>337545</v>
      </c>
      <c r="J246" s="163">
        <v>189044.54</v>
      </c>
    </row>
    <row r="247" spans="3:10" x14ac:dyDescent="0.2">
      <c r="C247" s="806">
        <f t="shared" si="1"/>
        <v>42711</v>
      </c>
      <c r="D247" s="331">
        <v>366772.64</v>
      </c>
      <c r="E247" s="479"/>
      <c r="H247" s="318">
        <v>44136</v>
      </c>
      <c r="I247" s="124">
        <v>407386</v>
      </c>
      <c r="J247" s="163">
        <v>201253.81</v>
      </c>
    </row>
    <row r="248" spans="3:10" x14ac:dyDescent="0.2">
      <c r="C248" s="806">
        <f t="shared" si="1"/>
        <v>42712</v>
      </c>
      <c r="D248" s="331">
        <v>366772.6</v>
      </c>
      <c r="E248" s="479"/>
      <c r="H248" s="318">
        <v>44166</v>
      </c>
      <c r="I248" s="124">
        <v>325944.61</v>
      </c>
      <c r="J248" s="163">
        <v>206549.06</v>
      </c>
    </row>
    <row r="249" spans="3:10" x14ac:dyDescent="0.2">
      <c r="C249" s="806">
        <f t="shared" si="1"/>
        <v>42713</v>
      </c>
      <c r="D249" s="331">
        <v>366773</v>
      </c>
      <c r="E249" s="479"/>
      <c r="H249" s="318">
        <v>44197</v>
      </c>
      <c r="I249" s="124">
        <v>416865.56</v>
      </c>
      <c r="J249" s="163">
        <v>204163.62</v>
      </c>
    </row>
    <row r="250" spans="3:10" x14ac:dyDescent="0.2">
      <c r="C250" s="806">
        <f t="shared" si="1"/>
        <v>42716</v>
      </c>
      <c r="D250" s="331">
        <v>366773</v>
      </c>
      <c r="E250" s="479"/>
      <c r="H250" s="318">
        <v>44228</v>
      </c>
      <c r="I250" s="124">
        <v>403762.36</v>
      </c>
      <c r="J250" s="163">
        <v>207045.8</v>
      </c>
    </row>
    <row r="251" spans="3:10" x14ac:dyDescent="0.2">
      <c r="C251" s="806">
        <f t="shared" si="1"/>
        <v>42717</v>
      </c>
      <c r="D251" s="331">
        <v>346535.44</v>
      </c>
      <c r="E251" s="479"/>
      <c r="H251" s="318">
        <v>44256</v>
      </c>
      <c r="I251" s="124">
        <v>218522.99</v>
      </c>
      <c r="J251" s="163">
        <v>211866.05</v>
      </c>
    </row>
    <row r="252" spans="3:10" x14ac:dyDescent="0.2">
      <c r="C252" s="806">
        <f t="shared" si="1"/>
        <v>42718</v>
      </c>
      <c r="D252" s="331">
        <v>346535</v>
      </c>
      <c r="E252" s="479"/>
      <c r="H252" s="318">
        <v>44287</v>
      </c>
      <c r="I252" s="124">
        <v>281784.46000000002</v>
      </c>
      <c r="J252" s="163">
        <v>218448.38</v>
      </c>
    </row>
    <row r="253" spans="3:10" x14ac:dyDescent="0.2">
      <c r="C253" s="806">
        <f t="shared" si="1"/>
        <v>42719</v>
      </c>
      <c r="D253" s="331">
        <v>335522.11</v>
      </c>
      <c r="E253" s="479"/>
      <c r="H253" s="318">
        <v>44317</v>
      </c>
      <c r="I253" s="124">
        <v>231705.38</v>
      </c>
      <c r="J253" s="163">
        <v>222184.92</v>
      </c>
    </row>
    <row r="254" spans="3:10" x14ac:dyDescent="0.2">
      <c r="C254" s="806">
        <f t="shared" si="1"/>
        <v>42720</v>
      </c>
      <c r="D254" s="331">
        <v>335675.99</v>
      </c>
      <c r="E254" s="479"/>
      <c r="H254" s="318">
        <v>44348</v>
      </c>
      <c r="I254" s="124">
        <v>254786.13</v>
      </c>
      <c r="J254" s="163">
        <v>222449.07</v>
      </c>
    </row>
    <row r="255" spans="3:10" x14ac:dyDescent="0.2">
      <c r="C255" s="806">
        <f t="shared" si="1"/>
        <v>42723</v>
      </c>
      <c r="D255" s="331">
        <v>357268.43</v>
      </c>
      <c r="E255" s="479"/>
      <c r="H255" s="318">
        <v>44378</v>
      </c>
      <c r="I255" s="124">
        <v>323671.89</v>
      </c>
      <c r="J255" s="163">
        <v>325177.46999999997</v>
      </c>
    </row>
    <row r="256" spans="3:10" x14ac:dyDescent="0.2">
      <c r="C256" s="806">
        <f t="shared" si="1"/>
        <v>42724</v>
      </c>
      <c r="D256" s="331">
        <v>357268</v>
      </c>
      <c r="E256" s="479"/>
      <c r="H256" s="318">
        <v>44409</v>
      </c>
      <c r="I256" s="124">
        <v>334383.06</v>
      </c>
      <c r="J256" s="163">
        <v>329419.45</v>
      </c>
    </row>
    <row r="257" spans="3:10" x14ac:dyDescent="0.2">
      <c r="C257" s="806">
        <f t="shared" si="1"/>
        <v>42725</v>
      </c>
      <c r="D257" s="331">
        <v>366192.91</v>
      </c>
      <c r="E257" s="479"/>
      <c r="H257" s="318">
        <v>44440</v>
      </c>
      <c r="I257" s="124">
        <v>325598.5</v>
      </c>
      <c r="J257" s="163">
        <v>318755.06</v>
      </c>
    </row>
    <row r="258" spans="3:10" x14ac:dyDescent="0.2">
      <c r="C258" s="806">
        <f t="shared" si="1"/>
        <v>42726</v>
      </c>
      <c r="D258" s="331">
        <v>377001.67</v>
      </c>
      <c r="E258" s="479"/>
      <c r="H258" s="318">
        <v>44470</v>
      </c>
      <c r="I258" s="124">
        <v>397934.47</v>
      </c>
      <c r="J258" s="163">
        <v>329502.62</v>
      </c>
    </row>
    <row r="259" spans="3:10" x14ac:dyDescent="0.2">
      <c r="C259" s="806">
        <f t="shared" si="1"/>
        <v>42727</v>
      </c>
      <c r="D259" s="331">
        <v>377329.67</v>
      </c>
      <c r="E259" s="479"/>
      <c r="H259" s="318">
        <v>44501</v>
      </c>
      <c r="I259" s="124">
        <v>304557.78000000003</v>
      </c>
      <c r="J259" s="163">
        <v>323833.99</v>
      </c>
    </row>
    <row r="260" spans="3:10" x14ac:dyDescent="0.2">
      <c r="C260" s="806">
        <f>C255+7</f>
        <v>42730</v>
      </c>
      <c r="D260" s="331">
        <v>377330</v>
      </c>
      <c r="E260" s="479"/>
      <c r="H260" s="318">
        <v>44531</v>
      </c>
      <c r="I260" s="124">
        <v>339829.81</v>
      </c>
      <c r="J260" s="163">
        <v>334446.53999999998</v>
      </c>
    </row>
    <row r="261" spans="3:10" x14ac:dyDescent="0.2">
      <c r="C261" s="806">
        <f>C256+7</f>
        <v>42731</v>
      </c>
      <c r="D261" s="331">
        <v>339782.53</v>
      </c>
      <c r="E261" s="479"/>
      <c r="H261" s="318">
        <v>44562</v>
      </c>
      <c r="I261" s="124">
        <v>483670.84</v>
      </c>
      <c r="J261" s="163">
        <v>323933.77</v>
      </c>
    </row>
    <row r="262" spans="3:10" x14ac:dyDescent="0.2">
      <c r="C262" s="806">
        <f>C257+7</f>
        <v>42732</v>
      </c>
      <c r="D262" s="331">
        <v>339783</v>
      </c>
      <c r="E262" s="479"/>
      <c r="H262" s="318">
        <v>44593</v>
      </c>
      <c r="I262" s="124">
        <v>403181.63</v>
      </c>
      <c r="J262" s="163">
        <v>319586.55</v>
      </c>
    </row>
    <row r="263" spans="3:10" x14ac:dyDescent="0.2">
      <c r="C263" s="806">
        <f>C258+7</f>
        <v>42733</v>
      </c>
      <c r="D263" s="331">
        <v>337987.77</v>
      </c>
      <c r="E263" s="479"/>
      <c r="H263" s="318">
        <v>44621</v>
      </c>
      <c r="I263" s="124">
        <v>315833.28999999998</v>
      </c>
      <c r="J263" s="163">
        <v>422621.04</v>
      </c>
    </row>
    <row r="264" spans="3:10" x14ac:dyDescent="0.2">
      <c r="C264" s="806">
        <f>C259+7</f>
        <v>42734</v>
      </c>
      <c r="D264" s="331">
        <v>354814.33</v>
      </c>
      <c r="E264" s="479"/>
      <c r="H264" s="318">
        <v>44652</v>
      </c>
      <c r="I264" s="124">
        <v>327170</v>
      </c>
      <c r="J264" s="163">
        <v>399826.35</v>
      </c>
    </row>
    <row r="265" spans="3:10" x14ac:dyDescent="0.2">
      <c r="C265" s="807">
        <v>42737</v>
      </c>
      <c r="D265" s="342">
        <v>354814</v>
      </c>
      <c r="H265" s="318">
        <v>44682</v>
      </c>
      <c r="I265" s="124">
        <v>246847.16</v>
      </c>
      <c r="J265" s="163">
        <v>404182.26</v>
      </c>
    </row>
    <row r="266" spans="3:10" x14ac:dyDescent="0.2">
      <c r="C266" s="807">
        <v>42738</v>
      </c>
      <c r="D266" s="342">
        <v>361866.86</v>
      </c>
      <c r="H266" s="318">
        <v>44713</v>
      </c>
      <c r="I266" s="124">
        <v>274391.32</v>
      </c>
      <c r="J266" s="163">
        <v>378955.05</v>
      </c>
    </row>
    <row r="267" spans="3:10" x14ac:dyDescent="0.2">
      <c r="C267" s="807">
        <v>42739</v>
      </c>
      <c r="D267" s="342">
        <v>363519.32</v>
      </c>
      <c r="H267" s="318">
        <v>44743</v>
      </c>
      <c r="I267" s="124">
        <v>311473.07</v>
      </c>
      <c r="J267" s="163">
        <v>395341.91</v>
      </c>
    </row>
    <row r="268" spans="3:10" x14ac:dyDescent="0.2">
      <c r="C268" s="807">
        <v>42740</v>
      </c>
      <c r="D268" s="342">
        <v>361866.66</v>
      </c>
      <c r="H268" s="318">
        <v>44774</v>
      </c>
      <c r="I268" s="124">
        <v>246923.1</v>
      </c>
      <c r="J268" s="163">
        <v>382796.02</v>
      </c>
    </row>
    <row r="269" spans="3:10" x14ac:dyDescent="0.2">
      <c r="C269" s="807">
        <v>42741</v>
      </c>
      <c r="D269" s="342">
        <v>363519</v>
      </c>
      <c r="H269" s="318">
        <v>44805</v>
      </c>
      <c r="I269" s="124">
        <v>214783.77</v>
      </c>
      <c r="J269" s="163">
        <v>357259.36</v>
      </c>
    </row>
    <row r="270" spans="3:10" x14ac:dyDescent="0.2">
      <c r="C270" s="807">
        <v>42744</v>
      </c>
      <c r="D270" s="342">
        <v>363543.47</v>
      </c>
      <c r="H270" s="318">
        <v>44835</v>
      </c>
      <c r="I270" s="124">
        <v>264786.40999999997</v>
      </c>
      <c r="J270" s="163">
        <v>374993.63</v>
      </c>
    </row>
    <row r="271" spans="3:10" x14ac:dyDescent="0.2">
      <c r="C271" s="807">
        <v>42745</v>
      </c>
      <c r="D271" s="342">
        <v>328707.83</v>
      </c>
      <c r="H271" s="318">
        <v>44866</v>
      </c>
      <c r="I271" s="124">
        <v>290727.87</v>
      </c>
      <c r="J271" s="163">
        <v>396685.21</v>
      </c>
    </row>
    <row r="272" spans="3:10" x14ac:dyDescent="0.2">
      <c r="C272" s="807">
        <v>42746</v>
      </c>
      <c r="D272" s="342">
        <v>328708</v>
      </c>
      <c r="H272" s="318">
        <v>44896</v>
      </c>
      <c r="I272" s="124">
        <v>362006.45</v>
      </c>
      <c r="J272" s="163">
        <v>385734.14</v>
      </c>
    </row>
    <row r="273" spans="3:10" x14ac:dyDescent="0.2">
      <c r="C273" s="807">
        <v>42747</v>
      </c>
      <c r="D273" s="342">
        <v>321086.01</v>
      </c>
      <c r="H273" s="318">
        <v>44927</v>
      </c>
      <c r="I273" s="124">
        <v>494072.83</v>
      </c>
      <c r="J273" s="163">
        <v>402326.67</v>
      </c>
    </row>
    <row r="274" spans="3:10" x14ac:dyDescent="0.2">
      <c r="C274" s="807">
        <v>42748</v>
      </c>
      <c r="D274" s="342">
        <v>334097.28000000003</v>
      </c>
      <c r="H274" s="318">
        <v>44958</v>
      </c>
      <c r="I274" s="124">
        <v>399857.44</v>
      </c>
      <c r="J274" s="163">
        <v>390206.58</v>
      </c>
    </row>
    <row r="275" spans="3:10" x14ac:dyDescent="0.2">
      <c r="C275" s="807">
        <v>42751</v>
      </c>
      <c r="D275" s="342">
        <v>334097</v>
      </c>
      <c r="H275" s="318">
        <v>44986</v>
      </c>
      <c r="I275" s="124">
        <v>279188.34999999998</v>
      </c>
      <c r="J275" s="163">
        <v>396440.66</v>
      </c>
    </row>
    <row r="276" spans="3:10" x14ac:dyDescent="0.2">
      <c r="C276" s="807">
        <v>42752</v>
      </c>
      <c r="D276" s="342">
        <v>268850.96000000002</v>
      </c>
      <c r="H276" s="318">
        <v>45017</v>
      </c>
      <c r="I276" s="124">
        <v>302008.53000000003</v>
      </c>
      <c r="J276" s="163">
        <v>401182.89</v>
      </c>
    </row>
    <row r="277" spans="3:10" x14ac:dyDescent="0.2">
      <c r="C277" s="807">
        <v>42753</v>
      </c>
      <c r="D277" s="342">
        <v>268851</v>
      </c>
      <c r="H277" s="318">
        <v>45047</v>
      </c>
      <c r="I277" s="124">
        <v>222544.3</v>
      </c>
      <c r="J277" s="163">
        <v>393246.23</v>
      </c>
    </row>
    <row r="278" spans="3:10" x14ac:dyDescent="0.2">
      <c r="C278" s="807">
        <v>42754</v>
      </c>
      <c r="D278" s="342">
        <v>269075.21000000002</v>
      </c>
      <c r="H278" s="318">
        <v>45078</v>
      </c>
      <c r="I278" s="124">
        <v>303528.63</v>
      </c>
      <c r="J278" s="163">
        <v>408061</v>
      </c>
    </row>
    <row r="279" spans="3:10" x14ac:dyDescent="0.2">
      <c r="C279" s="807">
        <v>42755</v>
      </c>
      <c r="D279" s="342">
        <v>270983.21000000002</v>
      </c>
      <c r="H279" s="318">
        <v>45108</v>
      </c>
      <c r="I279" s="124">
        <v>279453.21999999997</v>
      </c>
      <c r="J279" s="163">
        <v>417521.72</v>
      </c>
    </row>
    <row r="280" spans="3:10" x14ac:dyDescent="0.2">
      <c r="C280" s="807">
        <v>42758</v>
      </c>
      <c r="D280" s="342">
        <v>270983</v>
      </c>
      <c r="H280" s="318">
        <v>45139</v>
      </c>
      <c r="I280" s="124">
        <v>235427.62</v>
      </c>
      <c r="J280" s="163">
        <v>410999.58</v>
      </c>
    </row>
    <row r="281" spans="3:10" x14ac:dyDescent="0.2">
      <c r="C281" s="807">
        <v>42759</v>
      </c>
      <c r="D281" s="342">
        <v>270723.98</v>
      </c>
      <c r="H281" s="318">
        <v>45170</v>
      </c>
      <c r="I281" s="124">
        <v>301323.59999999998</v>
      </c>
      <c r="J281" s="163">
        <v>396973.48</v>
      </c>
    </row>
    <row r="282" spans="3:10" x14ac:dyDescent="0.2">
      <c r="C282" s="807">
        <v>42760</v>
      </c>
      <c r="D282" s="342">
        <v>281353.09999999998</v>
      </c>
      <c r="H282" s="318">
        <v>45200</v>
      </c>
      <c r="I282" s="124">
        <v>355947.69</v>
      </c>
      <c r="J282" s="163">
        <v>389315.86</v>
      </c>
    </row>
    <row r="283" spans="3:10" x14ac:dyDescent="0.2">
      <c r="C283" s="807">
        <v>42761</v>
      </c>
      <c r="D283" s="342">
        <v>274313.84999999998</v>
      </c>
      <c r="H283" s="318">
        <v>45231</v>
      </c>
      <c r="I283" s="124">
        <v>269865.12</v>
      </c>
      <c r="J283" s="163">
        <v>415432.2</v>
      </c>
    </row>
    <row r="284" spans="3:10" x14ac:dyDescent="0.2">
      <c r="C284" s="807">
        <v>42762</v>
      </c>
      <c r="D284" s="342">
        <v>296447.59999999998</v>
      </c>
      <c r="H284" s="318">
        <v>45261</v>
      </c>
      <c r="I284" s="124">
        <v>266721.90000000002</v>
      </c>
      <c r="J284" s="163">
        <v>434275.6</v>
      </c>
    </row>
    <row r="285" spans="3:10" x14ac:dyDescent="0.2">
      <c r="C285" s="807">
        <v>42765</v>
      </c>
      <c r="D285" s="342">
        <v>295107.96000000002</v>
      </c>
      <c r="H285" s="318">
        <v>45292</v>
      </c>
      <c r="I285" s="124">
        <v>413322.14</v>
      </c>
      <c r="J285" s="163">
        <v>437155.38</v>
      </c>
    </row>
    <row r="286" spans="3:10" x14ac:dyDescent="0.2">
      <c r="C286" s="807">
        <v>42766</v>
      </c>
      <c r="D286" s="342">
        <v>314030.53000000003</v>
      </c>
      <c r="H286" s="318">
        <v>45323</v>
      </c>
      <c r="I286" s="124">
        <v>390662.21</v>
      </c>
      <c r="J286" s="163">
        <v>449092.16</v>
      </c>
    </row>
    <row r="287" spans="3:10" x14ac:dyDescent="0.2">
      <c r="C287" s="807">
        <v>42767</v>
      </c>
      <c r="D287" s="342">
        <v>314031</v>
      </c>
      <c r="H287" s="318">
        <v>45352</v>
      </c>
      <c r="I287" s="124">
        <v>280467.3</v>
      </c>
      <c r="J287" s="163">
        <v>465124.12</v>
      </c>
    </row>
    <row r="288" spans="3:10" x14ac:dyDescent="0.2">
      <c r="C288" s="807">
        <v>42768</v>
      </c>
      <c r="D288" s="342">
        <v>312808.53999999998</v>
      </c>
      <c r="H288" s="318">
        <v>45383</v>
      </c>
      <c r="I288" s="124">
        <v>323205.53000000003</v>
      </c>
      <c r="J288" s="163">
        <v>451645.99</v>
      </c>
    </row>
    <row r="289" spans="3:10" x14ac:dyDescent="0.2">
      <c r="C289" s="807">
        <v>42769</v>
      </c>
      <c r="D289" s="342">
        <v>316461.53999999998</v>
      </c>
      <c r="H289" s="318">
        <v>45413</v>
      </c>
      <c r="I289" s="124">
        <v>275004.96000000002</v>
      </c>
      <c r="J289" s="163">
        <v>467250.63</v>
      </c>
    </row>
    <row r="290" spans="3:10" x14ac:dyDescent="0.2">
      <c r="C290" s="807">
        <v>42772</v>
      </c>
      <c r="D290" s="342">
        <v>316462</v>
      </c>
      <c r="H290" s="318">
        <v>45444</v>
      </c>
      <c r="I290" s="124">
        <v>296378.64</v>
      </c>
      <c r="J290" s="163">
        <v>470492.77</v>
      </c>
    </row>
    <row r="291" spans="3:10" x14ac:dyDescent="0.2">
      <c r="C291" s="807">
        <v>42773</v>
      </c>
      <c r="D291" s="342">
        <v>289560.21999999997</v>
      </c>
      <c r="H291" s="318">
        <v>45474</v>
      </c>
      <c r="I291" s="124">
        <v>336121.66</v>
      </c>
      <c r="J291" s="163">
        <v>484002.05</v>
      </c>
    </row>
    <row r="292" spans="3:10" x14ac:dyDescent="0.2">
      <c r="C292" s="807">
        <v>42774</v>
      </c>
      <c r="D292" s="342">
        <v>297310.21999999997</v>
      </c>
      <c r="H292" s="318">
        <v>45505</v>
      </c>
      <c r="I292" s="124">
        <v>323670.74</v>
      </c>
      <c r="J292" s="163">
        <v>493219.34</v>
      </c>
    </row>
    <row r="293" spans="3:10" x14ac:dyDescent="0.2">
      <c r="C293" s="807">
        <v>42775</v>
      </c>
      <c r="D293" s="342">
        <v>352433.91</v>
      </c>
      <c r="H293" s="318">
        <v>45536</v>
      </c>
      <c r="I293" s="124">
        <v>343331.891</v>
      </c>
      <c r="J293" s="124">
        <v>497198</v>
      </c>
    </row>
    <row r="294" spans="3:10" x14ac:dyDescent="0.2">
      <c r="C294" s="807">
        <v>42776</v>
      </c>
      <c r="D294" s="342">
        <v>352434</v>
      </c>
      <c r="H294" s="318">
        <v>45566</v>
      </c>
      <c r="I294" s="124">
        <v>340547.28</v>
      </c>
      <c r="J294" s="124">
        <v>490236.6</v>
      </c>
    </row>
    <row r="295" spans="3:10" x14ac:dyDescent="0.2">
      <c r="C295" s="807">
        <v>42779</v>
      </c>
      <c r="D295" s="342">
        <v>352434</v>
      </c>
      <c r="H295" s="318">
        <v>45626</v>
      </c>
      <c r="I295" s="124">
        <v>365969</v>
      </c>
      <c r="J295" s="163">
        <v>505649.74</v>
      </c>
    </row>
    <row r="296" spans="3:10" x14ac:dyDescent="0.2">
      <c r="C296" s="807">
        <v>42780</v>
      </c>
      <c r="D296" s="342">
        <v>352434</v>
      </c>
      <c r="H296" s="318">
        <v>45657</v>
      </c>
      <c r="I296" s="124">
        <v>282364</v>
      </c>
      <c r="J296" s="163">
        <v>485756.8</v>
      </c>
    </row>
    <row r="297" spans="3:10" x14ac:dyDescent="0.2">
      <c r="C297" s="807">
        <v>42781</v>
      </c>
      <c r="D297" s="342">
        <v>352542.46</v>
      </c>
      <c r="H297" s="318">
        <f>H296+31</f>
        <v>45688</v>
      </c>
      <c r="I297" s="124">
        <v>399502</v>
      </c>
      <c r="J297" s="163">
        <v>500919</v>
      </c>
    </row>
    <row r="298" spans="3:10" x14ac:dyDescent="0.2">
      <c r="C298" s="807">
        <v>42782</v>
      </c>
      <c r="D298" s="342">
        <v>383231.99</v>
      </c>
      <c r="H298" s="318">
        <f>H297+28</f>
        <v>45716</v>
      </c>
      <c r="I298" s="124">
        <v>339403</v>
      </c>
      <c r="J298" s="163">
        <v>501419.62</v>
      </c>
    </row>
    <row r="299" spans="3:10" x14ac:dyDescent="0.2">
      <c r="C299" s="807">
        <v>42783</v>
      </c>
      <c r="D299" s="342">
        <v>404679.36</v>
      </c>
      <c r="H299" s="318">
        <f>H298+28</f>
        <v>45744</v>
      </c>
      <c r="I299" s="124">
        <v>276810.65000000002</v>
      </c>
      <c r="J299" s="163">
        <v>523071</v>
      </c>
    </row>
    <row r="300" spans="3:10" x14ac:dyDescent="0.2">
      <c r="C300" s="807">
        <v>42785</v>
      </c>
      <c r="D300" s="342">
        <v>404679</v>
      </c>
      <c r="H300" s="318">
        <f>H299+28</f>
        <v>45772</v>
      </c>
      <c r="I300" s="124">
        <v>358247.98</v>
      </c>
      <c r="J300" s="163">
        <v>488599.41</v>
      </c>
    </row>
    <row r="301" spans="3:10" x14ac:dyDescent="0.2">
      <c r="C301" s="807">
        <v>42787</v>
      </c>
      <c r="D301" s="342">
        <v>368703.72</v>
      </c>
      <c r="H301" s="318">
        <f>H300+28</f>
        <v>45800</v>
      </c>
      <c r="I301" s="124">
        <v>293255.53000000003</v>
      </c>
      <c r="J301" s="163">
        <v>506406</v>
      </c>
    </row>
    <row r="302" spans="3:10" x14ac:dyDescent="0.2">
      <c r="C302" s="807">
        <v>42788</v>
      </c>
      <c r="D302" s="342">
        <v>368203.72</v>
      </c>
      <c r="H302" s="318">
        <f>H301+28</f>
        <v>45828</v>
      </c>
      <c r="I302" s="124">
        <v>335133</v>
      </c>
      <c r="J302" s="163">
        <v>523071</v>
      </c>
    </row>
    <row r="303" spans="3:10" x14ac:dyDescent="0.2">
      <c r="C303" s="807">
        <v>42789</v>
      </c>
      <c r="D303" s="342">
        <v>349211.92</v>
      </c>
      <c r="H303" s="318">
        <v>45869</v>
      </c>
      <c r="I303" s="124">
        <v>379057</v>
      </c>
      <c r="J303" s="124">
        <v>524794</v>
      </c>
    </row>
    <row r="304" spans="3:10" x14ac:dyDescent="0.2">
      <c r="C304" s="807">
        <v>42790</v>
      </c>
      <c r="D304" s="342">
        <v>384176.45</v>
      </c>
      <c r="H304" s="318">
        <v>45900</v>
      </c>
      <c r="I304" s="124">
        <v>283492</v>
      </c>
      <c r="J304" s="124">
        <v>541379</v>
      </c>
    </row>
    <row r="305" spans="3:10" x14ac:dyDescent="0.2">
      <c r="C305" s="807">
        <v>42793</v>
      </c>
      <c r="D305" s="342">
        <v>384176</v>
      </c>
      <c r="H305" s="318"/>
      <c r="I305" s="124"/>
      <c r="J305" s="124"/>
    </row>
    <row r="306" spans="3:10" x14ac:dyDescent="0.2">
      <c r="C306" s="807">
        <v>42794</v>
      </c>
      <c r="D306" s="342">
        <v>384176</v>
      </c>
      <c r="H306" s="318"/>
      <c r="I306" s="124"/>
      <c r="J306" s="124"/>
    </row>
    <row r="307" spans="3:10" x14ac:dyDescent="0.2">
      <c r="C307" s="807">
        <v>42795</v>
      </c>
      <c r="D307" s="342">
        <v>384176</v>
      </c>
      <c r="H307" s="318"/>
      <c r="I307" s="124"/>
      <c r="J307" s="124"/>
    </row>
    <row r="308" spans="3:10" x14ac:dyDescent="0.2">
      <c r="C308" s="807">
        <v>42796</v>
      </c>
      <c r="D308" s="342">
        <v>395396.43</v>
      </c>
      <c r="H308" s="318"/>
      <c r="I308" s="124"/>
      <c r="J308" s="124"/>
    </row>
    <row r="309" spans="3:10" x14ac:dyDescent="0.2">
      <c r="C309" s="807">
        <v>42797</v>
      </c>
      <c r="D309" s="342">
        <v>395396</v>
      </c>
      <c r="H309" s="318"/>
      <c r="I309" s="124"/>
      <c r="J309" s="124"/>
    </row>
    <row r="310" spans="3:10" x14ac:dyDescent="0.2">
      <c r="C310" s="807">
        <v>42800</v>
      </c>
      <c r="D310" s="342">
        <v>395396</v>
      </c>
      <c r="H310" s="318"/>
      <c r="I310" s="124"/>
      <c r="J310" s="124"/>
    </row>
    <row r="311" spans="3:10" x14ac:dyDescent="0.2">
      <c r="C311" s="807">
        <v>42801</v>
      </c>
      <c r="D311" s="342">
        <v>361856.47</v>
      </c>
      <c r="H311" s="318"/>
      <c r="I311" s="124"/>
      <c r="J311" s="124"/>
    </row>
    <row r="312" spans="3:10" x14ac:dyDescent="0.2">
      <c r="C312" s="807">
        <v>42802</v>
      </c>
      <c r="D312" s="342">
        <v>361856</v>
      </c>
      <c r="H312" s="318"/>
      <c r="I312" s="124"/>
      <c r="J312" s="124"/>
    </row>
    <row r="313" spans="3:10" x14ac:dyDescent="0.2">
      <c r="C313" s="807">
        <v>42803</v>
      </c>
      <c r="D313" s="342">
        <v>349877.16</v>
      </c>
      <c r="H313" s="318"/>
      <c r="I313" s="124"/>
      <c r="J313" s="124"/>
    </row>
    <row r="314" spans="3:10" x14ac:dyDescent="0.2">
      <c r="C314" s="807">
        <v>42804</v>
      </c>
      <c r="D314" s="342">
        <v>359297.81</v>
      </c>
      <c r="H314" s="318"/>
      <c r="I314" s="124"/>
      <c r="J314" s="124"/>
    </row>
    <row r="315" spans="3:10" x14ac:dyDescent="0.2">
      <c r="C315" s="807">
        <v>42807</v>
      </c>
      <c r="D315" s="342">
        <v>361678.91</v>
      </c>
      <c r="H315" s="318"/>
      <c r="I315" s="124"/>
      <c r="J315" s="124"/>
    </row>
    <row r="316" spans="3:10" x14ac:dyDescent="0.2">
      <c r="C316" s="807">
        <v>42808</v>
      </c>
      <c r="D316" s="342">
        <v>361679</v>
      </c>
      <c r="H316" s="318"/>
      <c r="I316" s="124"/>
      <c r="J316" s="124"/>
    </row>
    <row r="317" spans="3:10" x14ac:dyDescent="0.2">
      <c r="C317" s="807">
        <v>42809</v>
      </c>
      <c r="D317" s="342">
        <v>370843.37</v>
      </c>
      <c r="H317" s="318"/>
      <c r="I317" s="124"/>
      <c r="J317" s="124"/>
    </row>
    <row r="318" spans="3:10" x14ac:dyDescent="0.2">
      <c r="C318" s="807">
        <v>42810</v>
      </c>
      <c r="D318" s="342">
        <v>377566.07</v>
      </c>
      <c r="H318" s="318"/>
      <c r="I318" s="124"/>
      <c r="J318" s="124"/>
    </row>
    <row r="319" spans="3:10" x14ac:dyDescent="0.2">
      <c r="C319" s="807">
        <v>42811</v>
      </c>
      <c r="D319" s="342">
        <v>370373.97</v>
      </c>
      <c r="H319" s="318"/>
      <c r="I319" s="124"/>
      <c r="J319" s="124"/>
    </row>
    <row r="320" spans="3:10" x14ac:dyDescent="0.2">
      <c r="C320" s="807">
        <v>42814</v>
      </c>
      <c r="D320" s="342">
        <v>338340.3</v>
      </c>
      <c r="H320" s="318"/>
      <c r="I320" s="124"/>
      <c r="J320" s="124"/>
    </row>
    <row r="321" spans="3:10" x14ac:dyDescent="0.2">
      <c r="C321" s="807">
        <v>42815</v>
      </c>
      <c r="D321" s="342">
        <v>338340</v>
      </c>
      <c r="H321" s="318"/>
      <c r="I321" s="124"/>
      <c r="J321" s="124"/>
    </row>
    <row r="322" spans="3:10" x14ac:dyDescent="0.2">
      <c r="C322" s="807">
        <v>42816</v>
      </c>
      <c r="D322" s="342">
        <v>338340</v>
      </c>
      <c r="H322" s="318"/>
      <c r="I322" s="124"/>
      <c r="J322" s="124"/>
    </row>
    <row r="323" spans="3:10" x14ac:dyDescent="0.2">
      <c r="C323" s="807">
        <v>42817</v>
      </c>
      <c r="D323" s="342">
        <f>25944.71+322493.66</f>
        <v>348438.37</v>
      </c>
      <c r="H323" s="318"/>
      <c r="I323" s="124"/>
      <c r="J323" s="124"/>
    </row>
    <row r="324" spans="3:10" x14ac:dyDescent="0.2">
      <c r="C324" s="807">
        <v>42818</v>
      </c>
      <c r="D324" s="342">
        <v>348438</v>
      </c>
      <c r="H324" s="318"/>
      <c r="I324" s="124"/>
      <c r="J324" s="124"/>
    </row>
    <row r="325" spans="3:10" x14ac:dyDescent="0.2">
      <c r="C325" s="807">
        <v>42821</v>
      </c>
      <c r="D325" s="342">
        <v>348360.51</v>
      </c>
      <c r="H325" s="318"/>
      <c r="I325" s="124"/>
      <c r="J325" s="124"/>
    </row>
    <row r="326" spans="3:10" x14ac:dyDescent="0.2">
      <c r="C326" s="807">
        <v>42822</v>
      </c>
      <c r="D326" s="331">
        <v>348440.48</v>
      </c>
      <c r="H326" s="318"/>
      <c r="I326" s="124"/>
      <c r="J326" s="124"/>
    </row>
    <row r="327" spans="3:10" x14ac:dyDescent="0.2">
      <c r="C327" s="807">
        <v>42823</v>
      </c>
      <c r="D327" s="331">
        <v>348440</v>
      </c>
      <c r="H327" s="318"/>
      <c r="I327" s="124"/>
      <c r="J327" s="124"/>
    </row>
    <row r="328" spans="3:10" x14ac:dyDescent="0.2">
      <c r="C328" s="807">
        <v>42824</v>
      </c>
      <c r="D328" s="331">
        <v>350305.92</v>
      </c>
      <c r="H328" s="318"/>
      <c r="I328" s="124"/>
      <c r="J328" s="124"/>
    </row>
    <row r="329" spans="3:10" x14ac:dyDescent="0.2">
      <c r="C329" s="807">
        <v>42825</v>
      </c>
      <c r="D329" s="331">
        <v>350306</v>
      </c>
      <c r="H329" s="318"/>
      <c r="I329" s="124"/>
      <c r="J329" s="124"/>
    </row>
    <row r="330" spans="3:10" x14ac:dyDescent="0.2">
      <c r="C330" s="807">
        <v>42828</v>
      </c>
      <c r="D330" s="331">
        <v>350306</v>
      </c>
      <c r="H330" s="318"/>
      <c r="I330" s="124"/>
      <c r="J330" s="124"/>
    </row>
    <row r="331" spans="3:10" x14ac:dyDescent="0.2">
      <c r="C331" s="807">
        <v>42829</v>
      </c>
      <c r="D331" s="331">
        <v>320389.65000000002</v>
      </c>
      <c r="H331" s="318"/>
      <c r="I331" s="124"/>
      <c r="J331" s="124"/>
    </row>
    <row r="332" spans="3:10" x14ac:dyDescent="0.2">
      <c r="C332" s="807">
        <v>42830</v>
      </c>
      <c r="D332" s="331">
        <v>320390</v>
      </c>
      <c r="H332" s="318"/>
      <c r="I332" s="124"/>
      <c r="J332" s="124"/>
    </row>
    <row r="333" spans="3:10" x14ac:dyDescent="0.2">
      <c r="C333" s="807">
        <v>42831</v>
      </c>
      <c r="D333" s="331">
        <v>313344</v>
      </c>
      <c r="H333" s="318"/>
      <c r="I333" s="124"/>
      <c r="J333" s="124"/>
    </row>
    <row r="334" spans="3:10" x14ac:dyDescent="0.2">
      <c r="C334" s="807">
        <v>42832</v>
      </c>
      <c r="D334" s="331">
        <v>313344</v>
      </c>
      <c r="H334" s="318"/>
      <c r="I334" s="124"/>
      <c r="J334" s="124"/>
    </row>
    <row r="335" spans="3:10" x14ac:dyDescent="0.2">
      <c r="C335" s="807">
        <v>42835</v>
      </c>
      <c r="D335" s="331">
        <v>306132.78000000003</v>
      </c>
      <c r="H335" s="318"/>
      <c r="I335" s="124"/>
      <c r="J335" s="124"/>
    </row>
    <row r="336" spans="3:10" x14ac:dyDescent="0.2">
      <c r="C336" s="807">
        <v>42836</v>
      </c>
      <c r="D336" s="331">
        <v>286047.34999999998</v>
      </c>
      <c r="H336" s="318"/>
      <c r="I336" s="124"/>
      <c r="J336" s="124"/>
    </row>
    <row r="337" spans="3:10" x14ac:dyDescent="0.2">
      <c r="C337" s="807">
        <v>42837</v>
      </c>
      <c r="D337" s="331">
        <v>286047</v>
      </c>
      <c r="H337" s="318"/>
      <c r="I337" s="124"/>
      <c r="J337" s="124"/>
    </row>
    <row r="338" spans="3:10" x14ac:dyDescent="0.2">
      <c r="C338" s="807">
        <v>42838</v>
      </c>
      <c r="D338" s="331">
        <v>272128.99</v>
      </c>
      <c r="H338" s="318"/>
      <c r="I338" s="124"/>
      <c r="J338" s="124"/>
    </row>
    <row r="339" spans="3:10" x14ac:dyDescent="0.2">
      <c r="C339" s="807">
        <v>42839</v>
      </c>
      <c r="D339" s="331">
        <v>272229.71000000002</v>
      </c>
      <c r="H339" s="318"/>
      <c r="I339" s="124"/>
      <c r="J339" s="124"/>
    </row>
    <row r="340" spans="3:10" x14ac:dyDescent="0.2">
      <c r="C340" s="807">
        <v>42842</v>
      </c>
      <c r="D340" s="331">
        <v>236683.56</v>
      </c>
      <c r="H340" s="318"/>
      <c r="I340" s="124"/>
      <c r="J340" s="124"/>
    </row>
    <row r="341" spans="3:10" x14ac:dyDescent="0.2">
      <c r="C341" s="807">
        <v>42843</v>
      </c>
      <c r="D341" s="331">
        <v>244114.64</v>
      </c>
      <c r="H341" s="318"/>
      <c r="I341" s="124"/>
      <c r="J341" s="124"/>
    </row>
    <row r="342" spans="3:10" x14ac:dyDescent="0.2">
      <c r="C342" s="807">
        <v>42844</v>
      </c>
      <c r="D342" s="331">
        <v>244115</v>
      </c>
      <c r="H342" s="318"/>
      <c r="I342" s="124"/>
      <c r="J342" s="124"/>
    </row>
    <row r="343" spans="3:10" x14ac:dyDescent="0.2">
      <c r="C343" s="807">
        <v>42845</v>
      </c>
      <c r="D343" s="331">
        <v>241798.76</v>
      </c>
      <c r="H343" s="318"/>
      <c r="I343" s="124"/>
      <c r="J343" s="124"/>
    </row>
    <row r="344" spans="3:10" x14ac:dyDescent="0.2">
      <c r="C344" s="807">
        <v>42846</v>
      </c>
      <c r="D344" s="331">
        <v>241799</v>
      </c>
      <c r="H344" s="318"/>
      <c r="I344" s="124"/>
      <c r="J344" s="124"/>
    </row>
    <row r="345" spans="3:10" x14ac:dyDescent="0.2">
      <c r="C345" s="807">
        <v>42849</v>
      </c>
      <c r="D345" s="331">
        <v>241973.76000000001</v>
      </c>
      <c r="H345" s="318"/>
      <c r="I345" s="124"/>
      <c r="J345" s="124"/>
    </row>
    <row r="346" spans="3:10" x14ac:dyDescent="0.2">
      <c r="C346" s="807">
        <v>42850</v>
      </c>
      <c r="D346" s="331">
        <v>243364.2</v>
      </c>
      <c r="H346" s="318"/>
      <c r="I346" s="124"/>
      <c r="J346" s="124"/>
    </row>
    <row r="347" spans="3:10" x14ac:dyDescent="0.2">
      <c r="C347" s="807">
        <v>42851</v>
      </c>
      <c r="D347" s="331">
        <v>243364</v>
      </c>
      <c r="H347" s="318"/>
      <c r="I347" s="124"/>
      <c r="J347" s="124"/>
    </row>
    <row r="348" spans="3:10" x14ac:dyDescent="0.2">
      <c r="C348" s="807">
        <v>42852</v>
      </c>
      <c r="D348" s="331">
        <v>259265.45</v>
      </c>
      <c r="H348" s="318"/>
      <c r="I348" s="124"/>
      <c r="J348" s="124"/>
    </row>
    <row r="349" spans="3:10" x14ac:dyDescent="0.2">
      <c r="C349" s="807">
        <v>42853</v>
      </c>
      <c r="D349" s="331">
        <v>290731.18</v>
      </c>
      <c r="H349" s="318"/>
      <c r="I349" s="124"/>
      <c r="J349" s="124"/>
    </row>
    <row r="350" spans="3:10" x14ac:dyDescent="0.2">
      <c r="C350" s="807">
        <v>42856</v>
      </c>
      <c r="D350" s="331">
        <v>251486.17</v>
      </c>
      <c r="H350" s="318"/>
      <c r="I350" s="124"/>
      <c r="J350" s="124"/>
    </row>
    <row r="351" spans="3:10" x14ac:dyDescent="0.2">
      <c r="C351" s="807">
        <v>42857</v>
      </c>
      <c r="D351" s="331">
        <v>253188.17</v>
      </c>
      <c r="H351" s="318"/>
      <c r="I351" s="124"/>
      <c r="J351" s="124"/>
    </row>
    <row r="352" spans="3:10" x14ac:dyDescent="0.2">
      <c r="C352" s="807">
        <v>42858</v>
      </c>
      <c r="D352" s="331">
        <v>253188</v>
      </c>
      <c r="H352" s="318"/>
      <c r="I352" s="124"/>
      <c r="J352" s="124"/>
    </row>
    <row r="353" spans="3:10" x14ac:dyDescent="0.2">
      <c r="C353" s="807">
        <v>42859</v>
      </c>
      <c r="D353" s="331">
        <v>232739.33</v>
      </c>
      <c r="H353" s="318"/>
      <c r="I353" s="124"/>
      <c r="J353" s="124"/>
    </row>
    <row r="354" spans="3:10" x14ac:dyDescent="0.2">
      <c r="C354" s="807">
        <v>42860</v>
      </c>
      <c r="D354" s="331">
        <v>234049.33</v>
      </c>
      <c r="H354" s="318"/>
      <c r="I354" s="124"/>
      <c r="J354" s="124"/>
    </row>
    <row r="355" spans="3:10" x14ac:dyDescent="0.2">
      <c r="C355" s="807">
        <v>42863</v>
      </c>
      <c r="D355" s="331">
        <v>314317.77</v>
      </c>
      <c r="H355" s="318"/>
      <c r="I355" s="124"/>
      <c r="J355" s="124"/>
    </row>
    <row r="356" spans="3:10" x14ac:dyDescent="0.2">
      <c r="C356" s="807">
        <v>42864</v>
      </c>
      <c r="D356" s="331">
        <v>314318</v>
      </c>
      <c r="H356" s="318"/>
      <c r="I356" s="124"/>
      <c r="J356" s="124"/>
    </row>
    <row r="357" spans="3:10" x14ac:dyDescent="0.2">
      <c r="C357" s="807">
        <v>42865</v>
      </c>
      <c r="D357" s="331">
        <v>314318</v>
      </c>
      <c r="H357" s="318"/>
      <c r="I357" s="124"/>
      <c r="J357" s="124"/>
    </row>
    <row r="358" spans="3:10" x14ac:dyDescent="0.2">
      <c r="C358" s="807">
        <v>42866</v>
      </c>
      <c r="D358" s="331">
        <v>313971.28000000003</v>
      </c>
      <c r="H358" s="318"/>
      <c r="I358" s="124"/>
      <c r="J358" s="124"/>
    </row>
    <row r="359" spans="3:10" x14ac:dyDescent="0.2">
      <c r="C359" s="807">
        <v>42867</v>
      </c>
      <c r="D359" s="331">
        <v>313971</v>
      </c>
      <c r="H359" s="318"/>
      <c r="I359" s="124"/>
      <c r="J359" s="124"/>
    </row>
    <row r="360" spans="3:10" x14ac:dyDescent="0.2">
      <c r="C360" s="807">
        <v>42870</v>
      </c>
      <c r="D360" s="331">
        <v>271063.69</v>
      </c>
      <c r="H360" s="318"/>
      <c r="I360" s="124"/>
      <c r="J360" s="124"/>
    </row>
    <row r="361" spans="3:10" x14ac:dyDescent="0.2">
      <c r="C361" s="807">
        <v>42871</v>
      </c>
      <c r="D361" s="331">
        <v>271064</v>
      </c>
      <c r="H361" s="318"/>
      <c r="I361" s="124"/>
      <c r="J361" s="124"/>
    </row>
    <row r="362" spans="3:10" x14ac:dyDescent="0.2">
      <c r="C362" s="807">
        <v>42872</v>
      </c>
      <c r="D362" s="331">
        <v>271064</v>
      </c>
      <c r="H362" s="318"/>
      <c r="I362" s="124"/>
      <c r="J362" s="124"/>
    </row>
    <row r="363" spans="3:10" x14ac:dyDescent="0.2">
      <c r="C363" s="807">
        <v>42873</v>
      </c>
      <c r="D363" s="331">
        <v>261497.73</v>
      </c>
      <c r="H363" s="318"/>
      <c r="I363" s="124"/>
      <c r="J363" s="124"/>
    </row>
    <row r="364" spans="3:10" x14ac:dyDescent="0.2">
      <c r="C364" s="807">
        <v>42874</v>
      </c>
      <c r="D364" s="331">
        <v>311507.92</v>
      </c>
      <c r="H364" s="318"/>
      <c r="I364" s="124"/>
      <c r="J364" s="124"/>
    </row>
    <row r="365" spans="3:10" x14ac:dyDescent="0.2">
      <c r="C365" s="807">
        <v>42877</v>
      </c>
      <c r="D365" s="331">
        <v>290080.52</v>
      </c>
      <c r="H365" s="318"/>
      <c r="I365" s="124"/>
      <c r="J365" s="124"/>
    </row>
    <row r="366" spans="3:10" x14ac:dyDescent="0.2">
      <c r="C366" s="807">
        <v>42878</v>
      </c>
      <c r="D366" s="331">
        <v>290081</v>
      </c>
      <c r="H366" s="318"/>
      <c r="I366" s="124"/>
      <c r="J366" s="124"/>
    </row>
    <row r="367" spans="3:10" x14ac:dyDescent="0.2">
      <c r="C367" s="807">
        <v>42879</v>
      </c>
      <c r="D367" s="331">
        <v>327080.46000000002</v>
      </c>
      <c r="H367" s="318"/>
      <c r="I367" s="124"/>
      <c r="J367" s="124"/>
    </row>
    <row r="368" spans="3:10" x14ac:dyDescent="0.2">
      <c r="C368" s="807">
        <v>42880</v>
      </c>
      <c r="D368" s="331">
        <v>327080</v>
      </c>
      <c r="H368" s="318"/>
      <c r="I368" s="124"/>
      <c r="J368" s="124"/>
    </row>
    <row r="369" spans="3:10" x14ac:dyDescent="0.2">
      <c r="C369" s="807">
        <v>42881</v>
      </c>
      <c r="D369" s="331">
        <v>336844.12</v>
      </c>
      <c r="H369" s="318"/>
      <c r="I369" s="124"/>
      <c r="J369" s="124"/>
    </row>
    <row r="370" spans="3:10" x14ac:dyDescent="0.2">
      <c r="C370" s="807">
        <v>42884</v>
      </c>
      <c r="D370" s="331">
        <v>336844</v>
      </c>
      <c r="H370" s="318"/>
      <c r="I370" s="124"/>
      <c r="J370" s="124"/>
    </row>
    <row r="371" spans="3:10" x14ac:dyDescent="0.2">
      <c r="C371" s="807">
        <v>42885</v>
      </c>
      <c r="D371" s="331">
        <v>300553.48</v>
      </c>
      <c r="H371" s="318"/>
      <c r="I371" s="124"/>
      <c r="J371" s="124"/>
    </row>
    <row r="372" spans="3:10" x14ac:dyDescent="0.2">
      <c r="C372" s="807">
        <v>42886</v>
      </c>
      <c r="D372" s="331">
        <v>296887.5</v>
      </c>
      <c r="H372" s="318"/>
      <c r="I372" s="124"/>
      <c r="J372" s="124"/>
    </row>
    <row r="373" spans="3:10" x14ac:dyDescent="0.2">
      <c r="C373" s="807">
        <v>42887</v>
      </c>
      <c r="D373" s="331">
        <v>297355.68</v>
      </c>
      <c r="H373" s="318"/>
      <c r="I373" s="124"/>
      <c r="J373" s="124"/>
    </row>
    <row r="374" spans="3:10" x14ac:dyDescent="0.2">
      <c r="C374" s="807">
        <v>42888</v>
      </c>
      <c r="D374" s="331">
        <v>298760.68</v>
      </c>
      <c r="H374" s="318"/>
      <c r="I374" s="124"/>
      <c r="J374" s="124"/>
    </row>
    <row r="375" spans="3:10" x14ac:dyDescent="0.2">
      <c r="C375" s="807">
        <v>42891</v>
      </c>
      <c r="D375" s="331">
        <v>279006.82</v>
      </c>
      <c r="H375" s="318"/>
      <c r="I375" s="124"/>
      <c r="J375" s="124"/>
    </row>
    <row r="376" spans="3:10" x14ac:dyDescent="0.2">
      <c r="C376" s="807">
        <v>42892</v>
      </c>
      <c r="D376" s="331">
        <v>279007</v>
      </c>
      <c r="H376" s="318"/>
      <c r="I376" s="124"/>
      <c r="J376" s="124"/>
    </row>
    <row r="377" spans="3:10" x14ac:dyDescent="0.2">
      <c r="C377" s="807">
        <v>42893</v>
      </c>
      <c r="D377" s="331">
        <v>279007</v>
      </c>
      <c r="H377" s="318"/>
      <c r="I377" s="124"/>
      <c r="J377" s="124"/>
    </row>
    <row r="378" spans="3:10" x14ac:dyDescent="0.2">
      <c r="C378" s="807">
        <v>42894</v>
      </c>
      <c r="D378" s="331">
        <v>279112.07</v>
      </c>
      <c r="H378" s="318"/>
      <c r="I378" s="124"/>
      <c r="J378" s="124"/>
    </row>
    <row r="379" spans="3:10" x14ac:dyDescent="0.2">
      <c r="C379" s="807">
        <v>42895</v>
      </c>
      <c r="D379" s="331">
        <v>279112</v>
      </c>
      <c r="H379" s="318"/>
      <c r="I379" s="124"/>
      <c r="J379" s="124"/>
    </row>
    <row r="380" spans="3:10" x14ac:dyDescent="0.2">
      <c r="C380" s="807">
        <v>42898</v>
      </c>
      <c r="D380" s="331">
        <v>244682.12</v>
      </c>
      <c r="H380" s="318"/>
      <c r="I380" s="124"/>
      <c r="J380" s="124"/>
    </row>
    <row r="381" spans="3:10" x14ac:dyDescent="0.2">
      <c r="C381" s="807">
        <v>42899</v>
      </c>
      <c r="D381" s="331">
        <v>249935.51</v>
      </c>
      <c r="H381" s="318"/>
      <c r="I381" s="124"/>
      <c r="J381" s="124"/>
    </row>
    <row r="382" spans="3:10" x14ac:dyDescent="0.2">
      <c r="C382" s="807">
        <v>42900</v>
      </c>
      <c r="D382" s="331">
        <v>249936</v>
      </c>
      <c r="H382" s="318"/>
      <c r="I382" s="124"/>
      <c r="J382" s="124"/>
    </row>
    <row r="383" spans="3:10" x14ac:dyDescent="0.2">
      <c r="C383" s="807">
        <v>42901</v>
      </c>
      <c r="D383" s="331">
        <v>253484.58</v>
      </c>
      <c r="H383" s="318"/>
      <c r="I383" s="124"/>
      <c r="J383" s="124"/>
    </row>
    <row r="384" spans="3:10" x14ac:dyDescent="0.2">
      <c r="C384" s="807">
        <v>42902</v>
      </c>
      <c r="D384" s="331">
        <v>253738.75</v>
      </c>
      <c r="H384" s="318"/>
      <c r="I384" s="124"/>
      <c r="J384" s="124"/>
    </row>
    <row r="385" spans="3:10" x14ac:dyDescent="0.2">
      <c r="C385" s="807">
        <v>42905</v>
      </c>
      <c r="D385" s="331">
        <v>255709.06</v>
      </c>
      <c r="H385" s="318"/>
      <c r="I385" s="124"/>
      <c r="J385" s="124"/>
    </row>
    <row r="386" spans="3:10" x14ac:dyDescent="0.2">
      <c r="C386" s="807">
        <v>42906</v>
      </c>
      <c r="D386" s="331">
        <v>254131.52</v>
      </c>
      <c r="H386" s="318"/>
      <c r="I386" s="124"/>
      <c r="J386" s="124"/>
    </row>
    <row r="387" spans="3:10" x14ac:dyDescent="0.2">
      <c r="C387" s="807">
        <v>42907</v>
      </c>
      <c r="D387" s="331">
        <v>254132</v>
      </c>
      <c r="H387" s="318"/>
      <c r="I387" s="124"/>
      <c r="J387" s="124"/>
    </row>
    <row r="388" spans="3:10" x14ac:dyDescent="0.2">
      <c r="C388" s="807">
        <v>42908</v>
      </c>
      <c r="D388" s="331">
        <v>236522.46</v>
      </c>
      <c r="H388" s="318"/>
      <c r="I388" s="124"/>
      <c r="J388" s="124"/>
    </row>
    <row r="389" spans="3:10" x14ac:dyDescent="0.2">
      <c r="C389" s="807">
        <v>42909</v>
      </c>
      <c r="D389" s="331">
        <v>236522</v>
      </c>
      <c r="H389" s="318"/>
      <c r="I389" s="124"/>
      <c r="J389" s="124"/>
    </row>
    <row r="390" spans="3:10" x14ac:dyDescent="0.2">
      <c r="C390" s="807">
        <v>42912</v>
      </c>
      <c r="D390" s="331">
        <v>199489.86</v>
      </c>
      <c r="H390" s="318"/>
      <c r="I390" s="124"/>
      <c r="J390" s="124"/>
    </row>
    <row r="391" spans="3:10" x14ac:dyDescent="0.2">
      <c r="C391" s="807">
        <v>42913</v>
      </c>
      <c r="D391" s="331">
        <v>199619.86</v>
      </c>
      <c r="H391" s="318"/>
      <c r="I391" s="124"/>
      <c r="J391" s="124"/>
    </row>
    <row r="392" spans="3:10" x14ac:dyDescent="0.2">
      <c r="C392" s="807">
        <v>42914</v>
      </c>
      <c r="D392" s="331">
        <v>199620</v>
      </c>
      <c r="I392" s="124"/>
      <c r="J392" s="124"/>
    </row>
    <row r="393" spans="3:10" x14ac:dyDescent="0.2">
      <c r="C393" s="807">
        <v>42915</v>
      </c>
      <c r="D393" s="331">
        <v>210964.57</v>
      </c>
      <c r="I393" s="124"/>
      <c r="J393" s="124"/>
    </row>
    <row r="394" spans="3:10" x14ac:dyDescent="0.2">
      <c r="C394" s="807">
        <v>42916</v>
      </c>
      <c r="D394" s="331">
        <v>261389.72</v>
      </c>
      <c r="I394" s="124"/>
      <c r="J394" s="124"/>
    </row>
    <row r="395" spans="3:10" x14ac:dyDescent="0.2">
      <c r="C395" s="807">
        <v>42919</v>
      </c>
      <c r="D395" s="331">
        <v>260390</v>
      </c>
      <c r="I395" s="124"/>
      <c r="J395" s="124"/>
    </row>
    <row r="396" spans="3:10" x14ac:dyDescent="0.2">
      <c r="C396" s="807">
        <v>42920</v>
      </c>
      <c r="D396" s="331">
        <v>260390</v>
      </c>
      <c r="I396" s="124"/>
      <c r="J396" s="124"/>
    </row>
    <row r="397" spans="3:10" x14ac:dyDescent="0.2">
      <c r="C397" s="807">
        <v>42921</v>
      </c>
      <c r="D397" s="331">
        <v>260390</v>
      </c>
      <c r="I397" s="124"/>
      <c r="J397" s="124"/>
    </row>
    <row r="398" spans="3:10" x14ac:dyDescent="0.2">
      <c r="C398" s="807">
        <v>42922</v>
      </c>
      <c r="D398" s="331">
        <v>262384.21000000002</v>
      </c>
      <c r="I398" s="124"/>
      <c r="J398" s="124"/>
    </row>
    <row r="399" spans="3:10" x14ac:dyDescent="0.2">
      <c r="C399" s="807">
        <v>42923</v>
      </c>
      <c r="D399" s="331">
        <v>262384.21000000002</v>
      </c>
      <c r="I399" s="124"/>
      <c r="J399" s="124"/>
    </row>
    <row r="400" spans="3:10" x14ac:dyDescent="0.2">
      <c r="C400" s="807">
        <v>42926</v>
      </c>
      <c r="D400" s="331">
        <v>227560.99</v>
      </c>
      <c r="I400" s="124"/>
      <c r="J400" s="124"/>
    </row>
    <row r="401" spans="3:10" x14ac:dyDescent="0.2">
      <c r="C401" s="807">
        <v>42927</v>
      </c>
      <c r="D401" s="331">
        <v>227561</v>
      </c>
      <c r="I401" s="124"/>
      <c r="J401" s="124"/>
    </row>
    <row r="402" spans="3:10" x14ac:dyDescent="0.2">
      <c r="C402" s="807">
        <v>42928</v>
      </c>
      <c r="D402" s="331">
        <v>249322.04</v>
      </c>
      <c r="I402" s="124"/>
      <c r="J402" s="124"/>
    </row>
    <row r="403" spans="3:10" x14ac:dyDescent="0.2">
      <c r="C403" s="807">
        <v>42929</v>
      </c>
      <c r="D403" s="331">
        <v>256811.68</v>
      </c>
      <c r="I403" s="124"/>
      <c r="J403" s="124"/>
    </row>
    <row r="404" spans="3:10" x14ac:dyDescent="0.2">
      <c r="C404" s="807">
        <v>42930</v>
      </c>
      <c r="D404" s="331">
        <v>256883.07</v>
      </c>
      <c r="I404" s="124"/>
      <c r="J404" s="124"/>
    </row>
    <row r="405" spans="3:10" x14ac:dyDescent="0.2">
      <c r="C405" s="807">
        <v>42933</v>
      </c>
      <c r="D405" s="331">
        <v>256056.42</v>
      </c>
      <c r="I405" s="124"/>
      <c r="J405" s="124"/>
    </row>
    <row r="406" spans="3:10" x14ac:dyDescent="0.2">
      <c r="C406" s="807">
        <v>42934</v>
      </c>
      <c r="D406" s="331">
        <v>257214</v>
      </c>
      <c r="I406" s="124"/>
      <c r="J406" s="124"/>
    </row>
    <row r="407" spans="3:10" x14ac:dyDescent="0.2">
      <c r="C407" s="807">
        <v>42935</v>
      </c>
      <c r="D407" s="331">
        <v>257214</v>
      </c>
      <c r="I407" s="124"/>
      <c r="J407" s="124"/>
    </row>
    <row r="408" spans="3:10" x14ac:dyDescent="0.2">
      <c r="C408" s="807">
        <v>42936</v>
      </c>
      <c r="D408" s="331">
        <v>260076</v>
      </c>
      <c r="I408" s="124"/>
      <c r="J408" s="124"/>
    </row>
    <row r="409" spans="3:10" x14ac:dyDescent="0.2">
      <c r="C409" s="807">
        <v>42937</v>
      </c>
      <c r="D409" s="331">
        <v>339826</v>
      </c>
      <c r="I409" s="124"/>
      <c r="J409" s="124"/>
    </row>
    <row r="410" spans="3:10" x14ac:dyDescent="0.2">
      <c r="C410" s="807">
        <v>42940</v>
      </c>
      <c r="D410" s="331">
        <v>303183</v>
      </c>
      <c r="I410" s="124"/>
      <c r="J410" s="124"/>
    </row>
    <row r="411" spans="3:10" x14ac:dyDescent="0.2">
      <c r="C411" s="807">
        <v>42941</v>
      </c>
      <c r="D411" s="331">
        <v>322340</v>
      </c>
      <c r="I411" s="124"/>
      <c r="J411" s="124"/>
    </row>
    <row r="412" spans="3:10" x14ac:dyDescent="0.2">
      <c r="C412" s="807">
        <v>42942</v>
      </c>
      <c r="D412" s="331">
        <v>322340</v>
      </c>
      <c r="I412" s="124"/>
      <c r="J412" s="124"/>
    </row>
    <row r="413" spans="3:10" x14ac:dyDescent="0.2">
      <c r="C413" s="807">
        <v>42943</v>
      </c>
      <c r="D413" s="331">
        <v>308772.78999999998</v>
      </c>
      <c r="I413" s="124"/>
      <c r="J413" s="124"/>
    </row>
    <row r="414" spans="3:10" x14ac:dyDescent="0.2">
      <c r="C414" s="807">
        <v>42944</v>
      </c>
      <c r="D414" s="331">
        <v>317343.40999999997</v>
      </c>
      <c r="I414" s="124"/>
      <c r="J414" s="124"/>
    </row>
    <row r="415" spans="3:10" x14ac:dyDescent="0.2">
      <c r="C415" s="807">
        <v>42947</v>
      </c>
      <c r="D415" s="331">
        <v>317343</v>
      </c>
      <c r="I415" s="124"/>
      <c r="J415" s="124"/>
    </row>
    <row r="416" spans="3:10" x14ac:dyDescent="0.2">
      <c r="C416" s="807">
        <v>42948</v>
      </c>
      <c r="D416" s="331">
        <v>369152.35</v>
      </c>
      <c r="I416" s="124"/>
      <c r="J416" s="124"/>
    </row>
    <row r="417" spans="3:10" x14ac:dyDescent="0.2">
      <c r="C417" s="807">
        <v>42949</v>
      </c>
      <c r="D417" s="331">
        <v>371061.94</v>
      </c>
      <c r="I417" s="124"/>
      <c r="J417" s="124"/>
    </row>
    <row r="418" spans="3:10" x14ac:dyDescent="0.2">
      <c r="C418" s="807">
        <v>42950</v>
      </c>
      <c r="D418" s="331">
        <v>372080.87</v>
      </c>
    </row>
    <row r="419" spans="3:10" x14ac:dyDescent="0.2">
      <c r="C419" s="807">
        <v>42951</v>
      </c>
      <c r="D419" s="331">
        <v>372080.87</v>
      </c>
    </row>
    <row r="420" spans="3:10" x14ac:dyDescent="0.2">
      <c r="C420" s="807">
        <v>42954</v>
      </c>
      <c r="D420" s="331">
        <v>336189.47</v>
      </c>
    </row>
    <row r="421" spans="3:10" x14ac:dyDescent="0.2">
      <c r="C421" s="807">
        <v>42955</v>
      </c>
      <c r="D421" s="331">
        <v>340998.07</v>
      </c>
    </row>
    <row r="422" spans="3:10" x14ac:dyDescent="0.2">
      <c r="C422" s="807">
        <v>42956</v>
      </c>
      <c r="D422" s="331">
        <v>332763.65000000002</v>
      </c>
    </row>
    <row r="423" spans="3:10" x14ac:dyDescent="0.2">
      <c r="C423" s="807">
        <v>42957</v>
      </c>
      <c r="D423" s="331">
        <v>375651.45</v>
      </c>
    </row>
    <row r="424" spans="3:10" x14ac:dyDescent="0.2">
      <c r="C424" s="807">
        <v>42958</v>
      </c>
      <c r="D424" s="331">
        <v>378293.21</v>
      </c>
    </row>
    <row r="425" spans="3:10" x14ac:dyDescent="0.2">
      <c r="C425" s="807">
        <v>42961</v>
      </c>
      <c r="D425" s="331">
        <v>378293</v>
      </c>
    </row>
    <row r="426" spans="3:10" x14ac:dyDescent="0.2">
      <c r="C426" s="807">
        <v>42962</v>
      </c>
      <c r="D426" s="331">
        <v>401190.06</v>
      </c>
    </row>
    <row r="427" spans="3:10" x14ac:dyDescent="0.2">
      <c r="C427" s="807">
        <v>42963</v>
      </c>
      <c r="D427" s="331">
        <v>401190</v>
      </c>
    </row>
    <row r="428" spans="3:10" x14ac:dyDescent="0.2">
      <c r="C428" s="807">
        <v>42964</v>
      </c>
      <c r="D428" s="331">
        <v>401569.72</v>
      </c>
    </row>
    <row r="429" spans="3:10" x14ac:dyDescent="0.2">
      <c r="C429" s="807">
        <v>42965</v>
      </c>
      <c r="D429" s="331">
        <v>403837.72</v>
      </c>
    </row>
    <row r="430" spans="3:10" x14ac:dyDescent="0.2">
      <c r="C430" s="807">
        <v>42968</v>
      </c>
      <c r="D430" s="331">
        <v>369495.17</v>
      </c>
    </row>
    <row r="431" spans="3:10" x14ac:dyDescent="0.2">
      <c r="C431" s="807">
        <v>42969</v>
      </c>
      <c r="D431" s="331">
        <v>379169.06</v>
      </c>
    </row>
    <row r="432" spans="3:10" x14ac:dyDescent="0.2">
      <c r="C432" s="807">
        <v>42970</v>
      </c>
      <c r="D432" s="331">
        <v>379169</v>
      </c>
    </row>
    <row r="433" spans="3:4" x14ac:dyDescent="0.2">
      <c r="C433" s="807">
        <v>42971</v>
      </c>
      <c r="D433" s="331">
        <v>372540.41</v>
      </c>
    </row>
    <row r="434" spans="3:4" x14ac:dyDescent="0.2">
      <c r="C434" s="807">
        <v>42972</v>
      </c>
      <c r="D434" s="331">
        <v>372540</v>
      </c>
    </row>
    <row r="435" spans="3:4" x14ac:dyDescent="0.2">
      <c r="C435" s="807">
        <v>42975</v>
      </c>
      <c r="D435" s="331">
        <v>372540</v>
      </c>
    </row>
    <row r="436" spans="3:4" x14ac:dyDescent="0.2">
      <c r="C436" s="807">
        <v>42976</v>
      </c>
      <c r="D436" s="331">
        <v>374625.25</v>
      </c>
    </row>
    <row r="437" spans="3:4" x14ac:dyDescent="0.2">
      <c r="C437" s="807">
        <v>42977</v>
      </c>
      <c r="D437" s="331">
        <v>382658.46</v>
      </c>
    </row>
    <row r="438" spans="3:4" x14ac:dyDescent="0.2">
      <c r="C438" s="807">
        <v>42978</v>
      </c>
      <c r="D438" s="331">
        <v>389160.26</v>
      </c>
    </row>
    <row r="439" spans="3:4" x14ac:dyDescent="0.2">
      <c r="C439" s="807">
        <v>42979</v>
      </c>
      <c r="D439" s="331">
        <v>389160</v>
      </c>
    </row>
    <row r="440" spans="3:4" x14ac:dyDescent="0.2">
      <c r="C440" s="807">
        <v>42982</v>
      </c>
      <c r="D440" s="331">
        <v>389160</v>
      </c>
    </row>
    <row r="441" spans="3:4" x14ac:dyDescent="0.2">
      <c r="C441" s="807">
        <v>42983</v>
      </c>
      <c r="D441" s="331">
        <v>352908.42</v>
      </c>
    </row>
    <row r="442" spans="3:4" x14ac:dyDescent="0.2">
      <c r="C442" s="807">
        <v>42984</v>
      </c>
      <c r="D442" s="331">
        <v>383959.41</v>
      </c>
    </row>
    <row r="443" spans="3:4" x14ac:dyDescent="0.2">
      <c r="C443" s="807">
        <v>42985</v>
      </c>
      <c r="D443" s="331">
        <v>403148.81</v>
      </c>
    </row>
    <row r="444" spans="3:4" x14ac:dyDescent="0.2">
      <c r="C444" s="807">
        <v>42986</v>
      </c>
      <c r="D444" s="331">
        <v>403344.11</v>
      </c>
    </row>
    <row r="445" spans="3:4" x14ac:dyDescent="0.2">
      <c r="C445" s="807">
        <v>42989</v>
      </c>
      <c r="D445" s="331">
        <v>403344</v>
      </c>
    </row>
    <row r="446" spans="3:4" x14ac:dyDescent="0.2">
      <c r="C446" s="807">
        <v>42990</v>
      </c>
      <c r="D446" s="331">
        <v>403344</v>
      </c>
    </row>
    <row r="447" spans="3:4" x14ac:dyDescent="0.2">
      <c r="C447" s="807">
        <v>42991</v>
      </c>
      <c r="D447" s="331">
        <v>403344</v>
      </c>
    </row>
    <row r="448" spans="3:4" x14ac:dyDescent="0.2">
      <c r="C448" s="807">
        <v>42992</v>
      </c>
      <c r="D448" s="331">
        <v>399784.25</v>
      </c>
    </row>
    <row r="449" spans="3:4" x14ac:dyDescent="0.2">
      <c r="C449" s="807">
        <v>42993</v>
      </c>
      <c r="D449" s="331">
        <v>399902.41</v>
      </c>
    </row>
    <row r="450" spans="3:4" x14ac:dyDescent="0.2">
      <c r="C450" s="807">
        <v>42996</v>
      </c>
      <c r="D450" s="331">
        <v>364572.56</v>
      </c>
    </row>
    <row r="451" spans="3:4" x14ac:dyDescent="0.2">
      <c r="C451" s="807">
        <v>42997</v>
      </c>
      <c r="D451" s="331">
        <v>364573</v>
      </c>
    </row>
    <row r="452" spans="3:4" x14ac:dyDescent="0.2">
      <c r="C452" s="807">
        <v>42998</v>
      </c>
      <c r="D452" s="331">
        <v>371571.78</v>
      </c>
    </row>
    <row r="453" spans="3:4" x14ac:dyDescent="0.2">
      <c r="C453" s="807">
        <v>42999</v>
      </c>
      <c r="D453" s="331">
        <v>370527.3</v>
      </c>
    </row>
    <row r="454" spans="3:4" x14ac:dyDescent="0.2">
      <c r="C454" s="807">
        <v>43000</v>
      </c>
      <c r="D454" s="331">
        <v>389646.11</v>
      </c>
    </row>
    <row r="455" spans="3:4" x14ac:dyDescent="0.2">
      <c r="C455" s="807">
        <v>43003</v>
      </c>
      <c r="D455" s="331">
        <v>393013.02</v>
      </c>
    </row>
    <row r="456" spans="3:4" x14ac:dyDescent="0.2">
      <c r="C456" s="807">
        <v>43004</v>
      </c>
      <c r="D456" s="331">
        <v>393593.22</v>
      </c>
    </row>
    <row r="457" spans="3:4" x14ac:dyDescent="0.2">
      <c r="C457" s="807">
        <v>43005</v>
      </c>
      <c r="D457" s="331">
        <v>393593</v>
      </c>
    </row>
    <row r="458" spans="3:4" x14ac:dyDescent="0.2">
      <c r="C458" s="807">
        <v>43006</v>
      </c>
      <c r="D458" s="331">
        <v>385433.95</v>
      </c>
    </row>
    <row r="459" spans="3:4" x14ac:dyDescent="0.2">
      <c r="C459" s="807">
        <v>43007</v>
      </c>
      <c r="D459" s="331">
        <v>385678.15</v>
      </c>
    </row>
    <row r="460" spans="3:4" x14ac:dyDescent="0.2">
      <c r="C460" s="807">
        <v>43010</v>
      </c>
      <c r="D460" s="331">
        <v>350949.28</v>
      </c>
    </row>
    <row r="461" spans="3:4" x14ac:dyDescent="0.2">
      <c r="C461" s="807">
        <v>43011</v>
      </c>
      <c r="D461" s="331">
        <v>352010.98</v>
      </c>
    </row>
    <row r="462" spans="3:4" x14ac:dyDescent="0.2">
      <c r="C462" s="807">
        <v>43012</v>
      </c>
      <c r="D462" s="331">
        <v>352011</v>
      </c>
    </row>
    <row r="463" spans="3:4" x14ac:dyDescent="0.2">
      <c r="C463" s="807">
        <v>43013</v>
      </c>
      <c r="D463" s="331">
        <v>348679</v>
      </c>
    </row>
    <row r="464" spans="3:4" x14ac:dyDescent="0.2">
      <c r="C464" s="807">
        <v>43014</v>
      </c>
      <c r="D464" s="331">
        <v>348679</v>
      </c>
    </row>
    <row r="465" spans="3:4" x14ac:dyDescent="0.2">
      <c r="C465" s="807">
        <v>43017</v>
      </c>
      <c r="D465" s="331">
        <v>348679</v>
      </c>
    </row>
    <row r="466" spans="3:4" x14ac:dyDescent="0.2">
      <c r="C466" s="807">
        <v>43018</v>
      </c>
      <c r="D466" s="331">
        <v>348679</v>
      </c>
    </row>
    <row r="467" spans="3:4" x14ac:dyDescent="0.2">
      <c r="C467" s="807">
        <v>43019</v>
      </c>
      <c r="D467" s="331">
        <v>348761.24</v>
      </c>
    </row>
    <row r="468" spans="3:4" x14ac:dyDescent="0.2">
      <c r="C468" s="807">
        <v>43020</v>
      </c>
      <c r="D468" s="331">
        <v>349998.26</v>
      </c>
    </row>
    <row r="469" spans="3:4" x14ac:dyDescent="0.2">
      <c r="C469" s="807">
        <v>43021</v>
      </c>
      <c r="D469" s="331">
        <v>370561.14</v>
      </c>
    </row>
    <row r="470" spans="3:4" x14ac:dyDescent="0.2">
      <c r="C470" s="807">
        <v>43024</v>
      </c>
      <c r="D470" s="331">
        <v>336220.14</v>
      </c>
    </row>
    <row r="471" spans="3:4" x14ac:dyDescent="0.2">
      <c r="C471" s="807">
        <v>43025</v>
      </c>
      <c r="D471" s="331">
        <v>336332.14</v>
      </c>
    </row>
    <row r="472" spans="3:4" x14ac:dyDescent="0.2">
      <c r="C472" s="807">
        <v>43026</v>
      </c>
      <c r="D472" s="331">
        <v>336332</v>
      </c>
    </row>
    <row r="473" spans="3:4" x14ac:dyDescent="0.2">
      <c r="C473" s="807">
        <v>43027</v>
      </c>
      <c r="D473" s="331">
        <v>339185.02</v>
      </c>
    </row>
    <row r="474" spans="3:4" x14ac:dyDescent="0.2">
      <c r="C474" s="807">
        <v>43028</v>
      </c>
      <c r="D474" s="331">
        <v>344936.35</v>
      </c>
    </row>
    <row r="475" spans="3:4" x14ac:dyDescent="0.2">
      <c r="C475" s="807">
        <v>43031</v>
      </c>
      <c r="D475" s="331">
        <v>344564.68</v>
      </c>
    </row>
    <row r="476" spans="3:4" x14ac:dyDescent="0.2">
      <c r="C476" s="807">
        <v>43032</v>
      </c>
      <c r="D476" s="331">
        <v>344565</v>
      </c>
    </row>
    <row r="477" spans="3:4" x14ac:dyDescent="0.2">
      <c r="C477" s="807">
        <v>43033</v>
      </c>
      <c r="D477" s="331">
        <v>344829.18</v>
      </c>
    </row>
    <row r="478" spans="3:4" x14ac:dyDescent="0.2">
      <c r="C478" s="807">
        <v>43034</v>
      </c>
      <c r="D478" s="331">
        <v>339942.05</v>
      </c>
    </row>
    <row r="479" spans="3:4" x14ac:dyDescent="0.2">
      <c r="C479" s="807">
        <v>43035</v>
      </c>
      <c r="D479" s="331">
        <v>360185.72</v>
      </c>
    </row>
    <row r="480" spans="3:4" x14ac:dyDescent="0.2">
      <c r="C480" s="807">
        <v>43038</v>
      </c>
      <c r="D480" s="331">
        <v>323067.73</v>
      </c>
    </row>
    <row r="481" spans="3:4" x14ac:dyDescent="0.2">
      <c r="C481" s="807">
        <v>43039</v>
      </c>
      <c r="D481" s="331">
        <v>323197.73</v>
      </c>
    </row>
    <row r="482" spans="3:4" x14ac:dyDescent="0.2">
      <c r="C482" s="807">
        <v>43040</v>
      </c>
      <c r="D482" s="331">
        <v>323198</v>
      </c>
    </row>
    <row r="483" spans="3:4" x14ac:dyDescent="0.2">
      <c r="C483" s="807">
        <v>43041</v>
      </c>
      <c r="D483" s="331">
        <v>341044.7</v>
      </c>
    </row>
    <row r="484" spans="3:4" x14ac:dyDescent="0.2">
      <c r="C484" s="807">
        <v>43042</v>
      </c>
      <c r="D484" s="331">
        <v>341676.17</v>
      </c>
    </row>
    <row r="485" spans="3:4" x14ac:dyDescent="0.2">
      <c r="C485" s="807">
        <v>43045</v>
      </c>
      <c r="D485" s="331">
        <v>341676</v>
      </c>
    </row>
    <row r="486" spans="3:4" x14ac:dyDescent="0.2">
      <c r="C486" s="807">
        <v>43046</v>
      </c>
      <c r="D486" s="331">
        <v>341676</v>
      </c>
    </row>
    <row r="487" spans="3:4" x14ac:dyDescent="0.2">
      <c r="C487" s="807">
        <v>43047</v>
      </c>
      <c r="D487" s="331">
        <v>379863.97</v>
      </c>
    </row>
    <row r="488" spans="3:4" x14ac:dyDescent="0.2">
      <c r="C488" s="807">
        <v>43048</v>
      </c>
      <c r="D488" s="331">
        <v>378842.06</v>
      </c>
    </row>
    <row r="489" spans="3:4" x14ac:dyDescent="0.2">
      <c r="C489" s="807">
        <v>43049</v>
      </c>
      <c r="D489" s="331">
        <v>378842</v>
      </c>
    </row>
    <row r="490" spans="3:4" x14ac:dyDescent="0.2">
      <c r="C490" s="807">
        <v>43052</v>
      </c>
      <c r="D490" s="331">
        <v>340784.14</v>
      </c>
    </row>
    <row r="491" spans="3:4" x14ac:dyDescent="0.2">
      <c r="C491" s="807">
        <v>43053</v>
      </c>
      <c r="D491" s="331">
        <v>340784</v>
      </c>
    </row>
    <row r="492" spans="3:4" x14ac:dyDescent="0.2">
      <c r="C492" s="807">
        <v>43054</v>
      </c>
      <c r="D492" s="331">
        <v>340895.76</v>
      </c>
    </row>
    <row r="493" spans="3:4" x14ac:dyDescent="0.2">
      <c r="C493" s="807">
        <v>43055</v>
      </c>
      <c r="D493" s="331">
        <v>349266.8</v>
      </c>
    </row>
    <row r="494" spans="3:4" x14ac:dyDescent="0.2">
      <c r="C494" s="807">
        <v>43056</v>
      </c>
      <c r="D494" s="331">
        <v>349267</v>
      </c>
    </row>
    <row r="495" spans="3:4" x14ac:dyDescent="0.2">
      <c r="C495" s="807">
        <v>43059</v>
      </c>
      <c r="D495" s="331">
        <v>354264.44</v>
      </c>
    </row>
    <row r="496" spans="3:4" x14ac:dyDescent="0.2">
      <c r="C496" s="807">
        <v>43060</v>
      </c>
      <c r="D496" s="331">
        <v>354264</v>
      </c>
    </row>
    <row r="497" spans="3:4" x14ac:dyDescent="0.2">
      <c r="C497" s="807">
        <v>43061</v>
      </c>
      <c r="D497" s="331">
        <v>357804.55</v>
      </c>
    </row>
    <row r="498" spans="3:4" x14ac:dyDescent="0.2">
      <c r="C498" s="807">
        <v>43062</v>
      </c>
      <c r="D498" s="331">
        <v>357805</v>
      </c>
    </row>
    <row r="499" spans="3:4" x14ac:dyDescent="0.2">
      <c r="C499" s="807">
        <v>43063</v>
      </c>
      <c r="D499" s="331">
        <v>361119.05</v>
      </c>
    </row>
    <row r="500" spans="3:4" x14ac:dyDescent="0.2">
      <c r="C500" s="807">
        <v>43066</v>
      </c>
      <c r="D500" s="331">
        <v>318415.71000000002</v>
      </c>
    </row>
    <row r="501" spans="3:4" x14ac:dyDescent="0.2">
      <c r="C501" s="807">
        <v>43067</v>
      </c>
      <c r="D501" s="331">
        <v>320237.53999999998</v>
      </c>
    </row>
    <row r="502" spans="3:4" x14ac:dyDescent="0.2">
      <c r="C502" s="807">
        <v>43068</v>
      </c>
      <c r="D502" s="331">
        <v>320237.53999999998</v>
      </c>
    </row>
    <row r="503" spans="3:4" x14ac:dyDescent="0.2">
      <c r="C503" s="807">
        <v>43069</v>
      </c>
      <c r="D503" s="331">
        <v>325286.46999999997</v>
      </c>
    </row>
    <row r="504" spans="3:4" x14ac:dyDescent="0.2">
      <c r="C504" s="807">
        <v>43070</v>
      </c>
      <c r="D504" s="331">
        <v>334247.03000000003</v>
      </c>
    </row>
    <row r="505" spans="3:4" x14ac:dyDescent="0.2">
      <c r="C505" s="807">
        <v>43073</v>
      </c>
      <c r="D505" s="331">
        <v>334247</v>
      </c>
    </row>
    <row r="506" spans="3:4" x14ac:dyDescent="0.2">
      <c r="C506" s="807">
        <v>43074</v>
      </c>
      <c r="D506" s="331">
        <v>334247.03000000003</v>
      </c>
    </row>
    <row r="507" spans="3:4" x14ac:dyDescent="0.2">
      <c r="C507" s="807">
        <v>43075</v>
      </c>
      <c r="D507" s="331">
        <v>334247</v>
      </c>
    </row>
    <row r="508" spans="3:4" x14ac:dyDescent="0.2">
      <c r="C508" s="807">
        <v>43076</v>
      </c>
      <c r="D508" s="331">
        <v>323171.46000000002</v>
      </c>
    </row>
    <row r="509" spans="3:4" x14ac:dyDescent="0.2">
      <c r="C509" s="807">
        <v>43077</v>
      </c>
      <c r="D509" s="331">
        <v>324229.90999999997</v>
      </c>
    </row>
    <row r="510" spans="3:4" x14ac:dyDescent="0.2">
      <c r="C510" s="807">
        <v>43080</v>
      </c>
      <c r="D510" s="331">
        <v>324230</v>
      </c>
    </row>
    <row r="511" spans="3:4" x14ac:dyDescent="0.2">
      <c r="C511" s="807">
        <v>43081</v>
      </c>
      <c r="D511" s="331">
        <v>286030.39</v>
      </c>
    </row>
    <row r="512" spans="3:4" x14ac:dyDescent="0.2">
      <c r="C512" s="807">
        <v>43082</v>
      </c>
      <c r="D512" s="331">
        <v>286197.44</v>
      </c>
    </row>
    <row r="513" spans="3:4" x14ac:dyDescent="0.2">
      <c r="C513" s="807">
        <v>43083</v>
      </c>
      <c r="D513" s="331">
        <v>280065.2</v>
      </c>
    </row>
    <row r="514" spans="3:4" x14ac:dyDescent="0.2">
      <c r="C514" s="807">
        <v>43084</v>
      </c>
      <c r="D514" s="331">
        <v>284409.09999999998</v>
      </c>
    </row>
    <row r="515" spans="3:4" x14ac:dyDescent="0.2">
      <c r="C515" s="807">
        <v>43087</v>
      </c>
      <c r="D515" s="331">
        <v>285119.09999999998</v>
      </c>
    </row>
    <row r="516" spans="3:4" x14ac:dyDescent="0.2">
      <c r="C516" s="807">
        <v>43088</v>
      </c>
      <c r="D516" s="331">
        <v>285395.49</v>
      </c>
    </row>
    <row r="517" spans="3:4" x14ac:dyDescent="0.2">
      <c r="C517" s="807">
        <v>43089</v>
      </c>
      <c r="D517" s="331">
        <v>285395</v>
      </c>
    </row>
    <row r="518" spans="3:4" x14ac:dyDescent="0.2">
      <c r="C518" s="807">
        <v>43090</v>
      </c>
      <c r="D518" s="331">
        <v>285542.49</v>
      </c>
    </row>
    <row r="519" spans="3:4" x14ac:dyDescent="0.2">
      <c r="C519" s="807">
        <v>43091</v>
      </c>
      <c r="D519" s="331">
        <v>285542</v>
      </c>
    </row>
    <row r="520" spans="3:4" x14ac:dyDescent="0.2">
      <c r="C520" s="807">
        <v>43094</v>
      </c>
      <c r="D520" s="331">
        <v>285542</v>
      </c>
    </row>
    <row r="521" spans="3:4" x14ac:dyDescent="0.2">
      <c r="C521" s="807">
        <v>43095</v>
      </c>
      <c r="D521" s="331">
        <v>248584.72</v>
      </c>
    </row>
    <row r="522" spans="3:4" x14ac:dyDescent="0.2">
      <c r="C522" s="807">
        <v>43096</v>
      </c>
      <c r="D522" s="331">
        <v>248585</v>
      </c>
    </row>
    <row r="523" spans="3:4" x14ac:dyDescent="0.2">
      <c r="C523" s="807">
        <v>43097</v>
      </c>
      <c r="D523" s="331">
        <v>270685.83</v>
      </c>
    </row>
    <row r="524" spans="3:4" x14ac:dyDescent="0.2">
      <c r="C524" s="807">
        <v>43098</v>
      </c>
      <c r="D524" s="331">
        <v>282558.58</v>
      </c>
    </row>
    <row r="525" spans="3:4" x14ac:dyDescent="0.2">
      <c r="C525" s="807">
        <v>43101</v>
      </c>
      <c r="D525" s="331">
        <v>282559</v>
      </c>
    </row>
    <row r="526" spans="3:4" x14ac:dyDescent="0.2">
      <c r="C526" s="807">
        <v>43102</v>
      </c>
      <c r="D526" s="331">
        <v>282559</v>
      </c>
    </row>
    <row r="527" spans="3:4" x14ac:dyDescent="0.2">
      <c r="C527" s="807">
        <v>43103</v>
      </c>
      <c r="D527" s="331">
        <v>282559</v>
      </c>
    </row>
    <row r="528" spans="3:4" x14ac:dyDescent="0.2">
      <c r="C528" s="807">
        <v>43104</v>
      </c>
      <c r="D528" s="331">
        <v>283213.14</v>
      </c>
    </row>
    <row r="529" spans="3:4" x14ac:dyDescent="0.2">
      <c r="C529" s="807">
        <v>43105</v>
      </c>
      <c r="D529" s="331">
        <v>297779.06</v>
      </c>
    </row>
    <row r="530" spans="3:4" x14ac:dyDescent="0.2">
      <c r="C530" s="807">
        <v>43108</v>
      </c>
      <c r="D530" s="331">
        <v>263886.2</v>
      </c>
    </row>
    <row r="531" spans="3:4" x14ac:dyDescent="0.2">
      <c r="C531" s="807">
        <v>43109</v>
      </c>
      <c r="D531" s="331">
        <v>277030.96999999997</v>
      </c>
    </row>
    <row r="532" spans="3:4" x14ac:dyDescent="0.2">
      <c r="C532" s="807">
        <v>43110</v>
      </c>
      <c r="D532" s="331">
        <v>277031</v>
      </c>
    </row>
    <row r="533" spans="3:4" x14ac:dyDescent="0.2">
      <c r="C533" s="807">
        <v>43111</v>
      </c>
      <c r="D533" s="331">
        <v>281394.14</v>
      </c>
    </row>
    <row r="534" spans="3:4" x14ac:dyDescent="0.2">
      <c r="C534" s="807">
        <v>43112</v>
      </c>
      <c r="D534" s="331">
        <v>281470.18</v>
      </c>
    </row>
    <row r="535" spans="3:4" x14ac:dyDescent="0.2">
      <c r="C535" s="807">
        <v>43115</v>
      </c>
      <c r="D535" s="331">
        <v>281470</v>
      </c>
    </row>
    <row r="536" spans="3:4" x14ac:dyDescent="0.2">
      <c r="C536" s="807">
        <v>43116</v>
      </c>
      <c r="D536" s="331">
        <v>284325.94</v>
      </c>
    </row>
    <row r="537" spans="3:4" x14ac:dyDescent="0.2">
      <c r="C537" s="807">
        <v>43117</v>
      </c>
      <c r="D537" s="331">
        <v>305911.78000000003</v>
      </c>
    </row>
    <row r="538" spans="3:4" x14ac:dyDescent="0.2">
      <c r="C538" s="807">
        <v>43118</v>
      </c>
      <c r="D538" s="331">
        <v>305752.93</v>
      </c>
    </row>
    <row r="539" spans="3:4" x14ac:dyDescent="0.2">
      <c r="C539" s="807">
        <v>43119</v>
      </c>
      <c r="D539" s="331">
        <v>332730.14</v>
      </c>
    </row>
    <row r="540" spans="3:4" x14ac:dyDescent="0.2">
      <c r="C540" s="807">
        <v>43122</v>
      </c>
      <c r="D540" s="331">
        <v>291419.49</v>
      </c>
    </row>
    <row r="541" spans="3:4" x14ac:dyDescent="0.2">
      <c r="C541" s="807">
        <v>43123</v>
      </c>
      <c r="D541" s="331">
        <v>293419.65000000002</v>
      </c>
    </row>
    <row r="542" spans="3:4" x14ac:dyDescent="0.2">
      <c r="C542" s="807">
        <v>43124</v>
      </c>
      <c r="D542" s="331">
        <v>293420</v>
      </c>
    </row>
    <row r="543" spans="3:4" x14ac:dyDescent="0.2">
      <c r="C543" s="807">
        <v>43125</v>
      </c>
      <c r="D543" s="331">
        <v>301331.82</v>
      </c>
    </row>
    <row r="544" spans="3:4" x14ac:dyDescent="0.2">
      <c r="C544" s="807">
        <v>43126</v>
      </c>
      <c r="D544" s="331">
        <v>327084.28999999998</v>
      </c>
    </row>
    <row r="545" spans="3:4" x14ac:dyDescent="0.2">
      <c r="C545" s="807">
        <v>43129</v>
      </c>
      <c r="D545" s="331">
        <v>327084</v>
      </c>
    </row>
    <row r="546" spans="3:4" x14ac:dyDescent="0.2">
      <c r="C546" s="807">
        <v>43130</v>
      </c>
      <c r="D546" s="331">
        <v>327084</v>
      </c>
    </row>
    <row r="547" spans="3:4" x14ac:dyDescent="0.2">
      <c r="C547" s="807">
        <v>43131</v>
      </c>
      <c r="D547" s="331">
        <v>337130.63</v>
      </c>
    </row>
    <row r="548" spans="3:4" x14ac:dyDescent="0.2">
      <c r="C548" s="807">
        <v>43132</v>
      </c>
      <c r="D548" s="331">
        <v>334292.59999999998</v>
      </c>
    </row>
    <row r="549" spans="3:4" x14ac:dyDescent="0.2">
      <c r="C549" s="807">
        <v>43133</v>
      </c>
      <c r="D549" s="331">
        <v>335977.23</v>
      </c>
    </row>
    <row r="550" spans="3:4" x14ac:dyDescent="0.2">
      <c r="C550" s="807">
        <v>43136</v>
      </c>
      <c r="D550" s="331">
        <v>300614.99</v>
      </c>
    </row>
    <row r="551" spans="3:4" x14ac:dyDescent="0.2">
      <c r="C551" s="807">
        <v>43137</v>
      </c>
      <c r="D551" s="331">
        <v>295509.53999999998</v>
      </c>
    </row>
    <row r="552" spans="3:4" x14ac:dyDescent="0.2">
      <c r="C552" s="807">
        <v>43138</v>
      </c>
      <c r="D552" s="331">
        <v>295510</v>
      </c>
    </row>
    <row r="553" spans="3:4" x14ac:dyDescent="0.2">
      <c r="C553" s="807">
        <v>43139</v>
      </c>
      <c r="D553" s="331">
        <v>295623.09999999998</v>
      </c>
    </row>
    <row r="554" spans="3:4" x14ac:dyDescent="0.2">
      <c r="C554" s="807">
        <v>43140</v>
      </c>
      <c r="D554" s="331">
        <v>295623</v>
      </c>
    </row>
    <row r="555" spans="3:4" x14ac:dyDescent="0.2">
      <c r="C555" s="807">
        <v>43143</v>
      </c>
      <c r="D555" s="331">
        <v>299232.09999999998</v>
      </c>
    </row>
    <row r="556" spans="3:4" x14ac:dyDescent="0.2">
      <c r="C556" s="807">
        <v>43144</v>
      </c>
      <c r="D556" s="331">
        <v>304422.01</v>
      </c>
    </row>
    <row r="557" spans="3:4" x14ac:dyDescent="0.2">
      <c r="C557" s="807">
        <v>43145</v>
      </c>
      <c r="D557" s="331">
        <v>330191.24</v>
      </c>
    </row>
    <row r="558" spans="3:4" x14ac:dyDescent="0.2">
      <c r="C558" s="807">
        <v>43146</v>
      </c>
      <c r="D558" s="331">
        <v>313471.64</v>
      </c>
    </row>
    <row r="559" spans="3:4" x14ac:dyDescent="0.2">
      <c r="C559" s="807">
        <v>43147</v>
      </c>
      <c r="D559" s="331">
        <v>313472</v>
      </c>
    </row>
    <row r="560" spans="3:4" x14ac:dyDescent="0.2">
      <c r="C560" s="807">
        <v>43150</v>
      </c>
      <c r="D560" s="331">
        <v>313472</v>
      </c>
    </row>
    <row r="561" spans="3:4" x14ac:dyDescent="0.2">
      <c r="C561" s="807">
        <v>43151</v>
      </c>
      <c r="D561" s="331">
        <v>277471.58</v>
      </c>
    </row>
    <row r="562" spans="3:4" x14ac:dyDescent="0.2">
      <c r="C562" s="807">
        <v>43152</v>
      </c>
      <c r="D562" s="331">
        <v>287526.92</v>
      </c>
    </row>
    <row r="563" spans="3:4" x14ac:dyDescent="0.2">
      <c r="C563" s="807">
        <v>43153</v>
      </c>
      <c r="D563" s="331">
        <v>296486.64</v>
      </c>
    </row>
    <row r="564" spans="3:4" x14ac:dyDescent="0.2">
      <c r="C564" s="807">
        <v>43154</v>
      </c>
      <c r="D564" s="331">
        <v>296487</v>
      </c>
    </row>
    <row r="565" spans="3:4" x14ac:dyDescent="0.2">
      <c r="C565" s="807">
        <v>43157</v>
      </c>
      <c r="D565" s="331">
        <v>296487</v>
      </c>
    </row>
    <row r="566" spans="3:4" x14ac:dyDescent="0.2">
      <c r="C566" s="807">
        <v>43158</v>
      </c>
      <c r="D566" s="331">
        <v>335911.5</v>
      </c>
    </row>
    <row r="567" spans="3:4" x14ac:dyDescent="0.2">
      <c r="C567" s="807">
        <v>43159</v>
      </c>
      <c r="D567" s="331">
        <v>335912</v>
      </c>
    </row>
    <row r="568" spans="3:4" x14ac:dyDescent="0.2">
      <c r="C568" s="807">
        <v>43160</v>
      </c>
      <c r="D568" s="331">
        <v>330042.21999999997</v>
      </c>
    </row>
    <row r="569" spans="3:4" x14ac:dyDescent="0.2">
      <c r="C569" s="807">
        <v>43161</v>
      </c>
      <c r="D569" s="331">
        <v>367034.5</v>
      </c>
    </row>
    <row r="570" spans="3:4" x14ac:dyDescent="0.2">
      <c r="C570" s="807">
        <v>43164</v>
      </c>
      <c r="D570" s="331">
        <v>330990.42</v>
      </c>
    </row>
    <row r="571" spans="3:4" x14ac:dyDescent="0.2">
      <c r="C571" s="807">
        <v>43165</v>
      </c>
      <c r="D571" s="331">
        <v>333065.89</v>
      </c>
    </row>
    <row r="572" spans="3:4" x14ac:dyDescent="0.2">
      <c r="C572" s="807">
        <v>43166</v>
      </c>
      <c r="D572" s="331">
        <v>331065.89</v>
      </c>
    </row>
    <row r="573" spans="3:4" x14ac:dyDescent="0.2">
      <c r="C573" s="807">
        <v>43167</v>
      </c>
      <c r="D573" s="331">
        <v>331092.17</v>
      </c>
    </row>
    <row r="574" spans="3:4" x14ac:dyDescent="0.2">
      <c r="C574" s="807">
        <v>43168</v>
      </c>
      <c r="D574" s="331">
        <v>311733.17</v>
      </c>
    </row>
    <row r="575" spans="3:4" x14ac:dyDescent="0.2">
      <c r="C575" s="807">
        <v>43171</v>
      </c>
      <c r="D575" s="331">
        <v>317116.19</v>
      </c>
    </row>
    <row r="576" spans="3:4" x14ac:dyDescent="0.2">
      <c r="C576" s="807">
        <v>43172</v>
      </c>
      <c r="D576" s="331">
        <v>317116</v>
      </c>
    </row>
    <row r="577" spans="3:4" x14ac:dyDescent="0.2">
      <c r="C577" s="807">
        <v>43173</v>
      </c>
      <c r="D577" s="331">
        <v>317496.19</v>
      </c>
    </row>
    <row r="578" spans="3:4" x14ac:dyDescent="0.2">
      <c r="C578" s="807">
        <v>43174</v>
      </c>
      <c r="D578" s="331">
        <v>317772.45</v>
      </c>
    </row>
    <row r="579" spans="3:4" x14ac:dyDescent="0.2">
      <c r="C579" s="807">
        <v>43175</v>
      </c>
      <c r="D579" s="331">
        <v>317772</v>
      </c>
    </row>
    <row r="580" spans="3:4" x14ac:dyDescent="0.2">
      <c r="C580" s="807">
        <v>43178</v>
      </c>
      <c r="D580" s="331">
        <v>279446.55</v>
      </c>
    </row>
    <row r="581" spans="3:4" x14ac:dyDescent="0.2">
      <c r="C581" s="807">
        <v>43179</v>
      </c>
      <c r="D581" s="331">
        <v>272785.62</v>
      </c>
    </row>
    <row r="582" spans="3:4" x14ac:dyDescent="0.2">
      <c r="C582" s="807">
        <v>43180</v>
      </c>
      <c r="D582" s="331">
        <v>288240.15999999997</v>
      </c>
    </row>
    <row r="583" spans="3:4" x14ac:dyDescent="0.2">
      <c r="C583" s="807">
        <v>43181</v>
      </c>
      <c r="D583" s="331">
        <v>278742.74</v>
      </c>
    </row>
    <row r="584" spans="3:4" x14ac:dyDescent="0.2">
      <c r="C584" s="807">
        <v>43182</v>
      </c>
      <c r="D584" s="331">
        <v>278840.24</v>
      </c>
    </row>
    <row r="585" spans="3:4" x14ac:dyDescent="0.2">
      <c r="C585" s="807">
        <v>43185</v>
      </c>
      <c r="D585" s="331">
        <v>278942.24</v>
      </c>
    </row>
    <row r="586" spans="3:4" x14ac:dyDescent="0.2">
      <c r="C586" s="807">
        <v>43186</v>
      </c>
      <c r="D586" s="331">
        <v>257048.49</v>
      </c>
    </row>
    <row r="587" spans="3:4" x14ac:dyDescent="0.2">
      <c r="C587" s="807">
        <v>43187</v>
      </c>
      <c r="D587" s="331">
        <v>252662.47</v>
      </c>
    </row>
    <row r="588" spans="3:4" x14ac:dyDescent="0.2">
      <c r="C588" s="807">
        <v>43188</v>
      </c>
      <c r="D588" s="331">
        <v>254708.73</v>
      </c>
    </row>
    <row r="589" spans="3:4" x14ac:dyDescent="0.2">
      <c r="C589" s="807">
        <v>43189</v>
      </c>
      <c r="D589" s="331">
        <v>281702.86</v>
      </c>
    </row>
    <row r="590" spans="3:4" x14ac:dyDescent="0.2">
      <c r="C590" s="807">
        <v>43192</v>
      </c>
      <c r="D590" s="331">
        <v>244220.77</v>
      </c>
    </row>
    <row r="591" spans="3:4" x14ac:dyDescent="0.2">
      <c r="C591" s="807">
        <v>43193</v>
      </c>
      <c r="D591" s="331">
        <v>244221</v>
      </c>
    </row>
    <row r="592" spans="3:4" x14ac:dyDescent="0.2">
      <c r="C592" s="807">
        <v>43194</v>
      </c>
      <c r="D592" s="331">
        <v>244221</v>
      </c>
    </row>
    <row r="593" spans="3:4" x14ac:dyDescent="0.2">
      <c r="C593" s="807">
        <v>43195</v>
      </c>
      <c r="D593" s="331">
        <v>225503.87</v>
      </c>
    </row>
    <row r="594" spans="3:4" x14ac:dyDescent="0.2">
      <c r="C594" s="807">
        <v>43196</v>
      </c>
      <c r="D594" s="331">
        <v>225504</v>
      </c>
    </row>
    <row r="595" spans="3:4" x14ac:dyDescent="0.2">
      <c r="C595" s="807">
        <v>43199</v>
      </c>
      <c r="D595" s="331">
        <v>225503.8</v>
      </c>
    </row>
    <row r="596" spans="3:4" x14ac:dyDescent="0.2">
      <c r="C596" s="807">
        <v>43200</v>
      </c>
      <c r="D596" s="331">
        <v>227389.96</v>
      </c>
    </row>
    <row r="597" spans="3:4" x14ac:dyDescent="0.2">
      <c r="C597" s="807">
        <v>43201</v>
      </c>
      <c r="D597" s="331">
        <v>235472.53</v>
      </c>
    </row>
    <row r="598" spans="3:4" x14ac:dyDescent="0.2">
      <c r="C598" s="807">
        <v>43202</v>
      </c>
      <c r="D598" s="331">
        <v>222207.84</v>
      </c>
    </row>
    <row r="599" spans="3:4" x14ac:dyDescent="0.2">
      <c r="C599" s="807">
        <v>43203</v>
      </c>
      <c r="D599" s="331">
        <v>222287.93</v>
      </c>
    </row>
    <row r="600" spans="3:4" x14ac:dyDescent="0.2">
      <c r="C600" s="807">
        <v>43206</v>
      </c>
      <c r="D600" s="331">
        <v>186664.28</v>
      </c>
    </row>
    <row r="601" spans="3:4" x14ac:dyDescent="0.2">
      <c r="C601" s="807">
        <v>43207</v>
      </c>
      <c r="D601" s="331">
        <v>188484.95</v>
      </c>
    </row>
    <row r="602" spans="3:4" x14ac:dyDescent="0.2">
      <c r="C602" s="807">
        <v>43208</v>
      </c>
      <c r="D602" s="331">
        <v>188485</v>
      </c>
    </row>
    <row r="603" spans="3:4" x14ac:dyDescent="0.2">
      <c r="C603" s="807">
        <v>43209</v>
      </c>
      <c r="D603" s="331">
        <v>180474.73</v>
      </c>
    </row>
    <row r="604" spans="3:4" x14ac:dyDescent="0.2">
      <c r="C604" s="807">
        <v>43210</v>
      </c>
      <c r="D604" s="331">
        <v>188207.38</v>
      </c>
    </row>
    <row r="605" spans="3:4" x14ac:dyDescent="0.2">
      <c r="C605" s="807">
        <v>43213</v>
      </c>
      <c r="D605" s="331">
        <v>198618.83</v>
      </c>
    </row>
    <row r="606" spans="3:4" x14ac:dyDescent="0.2">
      <c r="C606" s="807">
        <v>43214</v>
      </c>
      <c r="D606" s="331">
        <v>198619</v>
      </c>
    </row>
    <row r="607" spans="3:4" x14ac:dyDescent="0.2">
      <c r="C607" s="807">
        <v>43215</v>
      </c>
      <c r="D607" s="331">
        <v>198619</v>
      </c>
    </row>
    <row r="608" spans="3:4" x14ac:dyDescent="0.2">
      <c r="C608" s="807">
        <v>43216</v>
      </c>
      <c r="D608" s="331">
        <v>189089.55</v>
      </c>
    </row>
    <row r="609" spans="3:4" x14ac:dyDescent="0.2">
      <c r="C609" s="807">
        <v>43217</v>
      </c>
      <c r="D609" s="331">
        <v>216053.77</v>
      </c>
    </row>
    <row r="610" spans="3:4" x14ac:dyDescent="0.2">
      <c r="C610" s="807">
        <v>43220</v>
      </c>
      <c r="D610" s="331">
        <v>179849.52</v>
      </c>
    </row>
    <row r="611" spans="3:4" x14ac:dyDescent="0.2">
      <c r="C611" s="807">
        <v>43221</v>
      </c>
      <c r="D611" s="331">
        <v>179850</v>
      </c>
    </row>
    <row r="612" spans="3:4" x14ac:dyDescent="0.2">
      <c r="C612" s="807">
        <v>43222</v>
      </c>
      <c r="D612" s="331">
        <v>173749.01</v>
      </c>
    </row>
    <row r="613" spans="3:4" x14ac:dyDescent="0.2">
      <c r="C613" s="807">
        <v>43223</v>
      </c>
      <c r="D613" s="331">
        <v>200792.85</v>
      </c>
    </row>
    <row r="614" spans="3:4" x14ac:dyDescent="0.2">
      <c r="C614" s="807">
        <v>43224</v>
      </c>
      <c r="D614" s="331">
        <v>202331.91</v>
      </c>
    </row>
    <row r="615" spans="3:4" x14ac:dyDescent="0.2">
      <c r="C615" s="807">
        <v>43227</v>
      </c>
      <c r="D615" s="331">
        <v>203517.87</v>
      </c>
    </row>
    <row r="616" spans="3:4" x14ac:dyDescent="0.2">
      <c r="C616" s="807">
        <v>43228</v>
      </c>
      <c r="D616" s="331">
        <v>203518</v>
      </c>
    </row>
    <row r="617" spans="3:4" x14ac:dyDescent="0.2">
      <c r="C617" s="807">
        <v>43229</v>
      </c>
      <c r="D617" s="331">
        <v>203518</v>
      </c>
    </row>
    <row r="618" spans="3:4" x14ac:dyDescent="0.2">
      <c r="C618" s="807">
        <v>43230</v>
      </c>
      <c r="D618" s="331">
        <v>191114.58</v>
      </c>
    </row>
    <row r="619" spans="3:4" x14ac:dyDescent="0.2">
      <c r="C619" s="807">
        <v>43231</v>
      </c>
      <c r="D619" s="331">
        <v>153114.57999999999</v>
      </c>
    </row>
    <row r="620" spans="3:4" x14ac:dyDescent="0.2">
      <c r="C620" s="807">
        <v>43234</v>
      </c>
      <c r="D620" s="331">
        <v>153115</v>
      </c>
    </row>
    <row r="621" spans="3:4" x14ac:dyDescent="0.2">
      <c r="C621" s="807">
        <v>43235</v>
      </c>
      <c r="D621" s="331">
        <v>182792.08</v>
      </c>
    </row>
    <row r="622" spans="3:4" x14ac:dyDescent="0.2">
      <c r="C622" s="807">
        <v>43236</v>
      </c>
      <c r="D622" s="331">
        <v>182792</v>
      </c>
    </row>
    <row r="623" spans="3:4" x14ac:dyDescent="0.2">
      <c r="C623" s="807">
        <v>43237</v>
      </c>
      <c r="D623" s="331">
        <v>222152.66</v>
      </c>
    </row>
    <row r="624" spans="3:4" x14ac:dyDescent="0.2">
      <c r="C624" s="807">
        <v>43238</v>
      </c>
      <c r="D624" s="331">
        <v>222153</v>
      </c>
    </row>
    <row r="625" spans="3:4" x14ac:dyDescent="0.2">
      <c r="C625" s="807">
        <v>43241</v>
      </c>
      <c r="D625" s="331">
        <v>222153</v>
      </c>
    </row>
    <row r="626" spans="3:4" x14ac:dyDescent="0.2">
      <c r="C626" s="807">
        <v>43242</v>
      </c>
      <c r="D626" s="331">
        <v>222153</v>
      </c>
    </row>
    <row r="627" spans="3:4" x14ac:dyDescent="0.2">
      <c r="C627" s="807">
        <v>43243</v>
      </c>
      <c r="D627" s="331">
        <v>222152</v>
      </c>
    </row>
    <row r="628" spans="3:4" x14ac:dyDescent="0.2">
      <c r="C628" s="807">
        <v>43244</v>
      </c>
      <c r="D628" s="331">
        <v>211720.43</v>
      </c>
    </row>
    <row r="629" spans="3:4" x14ac:dyDescent="0.2">
      <c r="C629" s="807">
        <v>43245</v>
      </c>
      <c r="D629" s="331">
        <v>211720</v>
      </c>
    </row>
    <row r="630" spans="3:4" x14ac:dyDescent="0.2">
      <c r="C630" s="807">
        <v>43248</v>
      </c>
      <c r="D630" s="331">
        <v>211720</v>
      </c>
    </row>
    <row r="631" spans="3:4" x14ac:dyDescent="0.2">
      <c r="C631" s="807">
        <v>43249</v>
      </c>
      <c r="D631" s="331">
        <v>176327.95</v>
      </c>
    </row>
    <row r="632" spans="3:4" x14ac:dyDescent="0.2">
      <c r="C632" s="807">
        <v>43250</v>
      </c>
      <c r="D632" s="331">
        <v>176328</v>
      </c>
    </row>
    <row r="633" spans="3:4" x14ac:dyDescent="0.2">
      <c r="C633" s="807">
        <v>43251</v>
      </c>
      <c r="D633" s="331">
        <v>169004.5</v>
      </c>
    </row>
    <row r="634" spans="3:4" x14ac:dyDescent="0.2">
      <c r="C634" s="807">
        <v>43252</v>
      </c>
      <c r="D634" s="331">
        <v>261992.26</v>
      </c>
    </row>
    <row r="635" spans="3:4" x14ac:dyDescent="0.2">
      <c r="C635" s="807">
        <v>43255</v>
      </c>
      <c r="D635" s="331">
        <v>270521.09000000003</v>
      </c>
    </row>
    <row r="636" spans="3:4" x14ac:dyDescent="0.2">
      <c r="C636" s="807">
        <v>43256</v>
      </c>
      <c r="D636" s="331">
        <v>285365.09000000003</v>
      </c>
    </row>
    <row r="637" spans="3:4" x14ac:dyDescent="0.2">
      <c r="C637" s="807">
        <v>43257</v>
      </c>
      <c r="D637" s="331">
        <v>285365</v>
      </c>
    </row>
    <row r="638" spans="3:4" x14ac:dyDescent="0.2">
      <c r="C638" s="807">
        <v>43258</v>
      </c>
      <c r="D638" s="331">
        <v>287246.65999999997</v>
      </c>
    </row>
    <row r="639" spans="3:4" x14ac:dyDescent="0.2">
      <c r="C639" s="807">
        <v>43259</v>
      </c>
      <c r="D639" s="331">
        <v>287247</v>
      </c>
    </row>
    <row r="640" spans="3:4" x14ac:dyDescent="0.2">
      <c r="C640" s="807">
        <v>43262</v>
      </c>
      <c r="D640" s="331">
        <v>287247</v>
      </c>
    </row>
    <row r="641" spans="3:4" x14ac:dyDescent="0.2">
      <c r="C641" s="807">
        <v>43263</v>
      </c>
      <c r="D641" s="331">
        <v>253042.79</v>
      </c>
    </row>
    <row r="642" spans="3:4" x14ac:dyDescent="0.2">
      <c r="C642" s="807">
        <v>43264</v>
      </c>
      <c r="D642" s="331">
        <v>253043</v>
      </c>
    </row>
    <row r="643" spans="3:4" x14ac:dyDescent="0.2">
      <c r="C643" s="807">
        <v>43265</v>
      </c>
      <c r="D643" s="331">
        <v>246521.36</v>
      </c>
    </row>
    <row r="644" spans="3:4" x14ac:dyDescent="0.2">
      <c r="C644" s="807">
        <v>43266</v>
      </c>
      <c r="D644" s="331">
        <v>246593.56</v>
      </c>
    </row>
    <row r="645" spans="3:4" x14ac:dyDescent="0.2">
      <c r="C645" s="807">
        <v>43269</v>
      </c>
      <c r="D645" s="331">
        <v>246594</v>
      </c>
    </row>
    <row r="646" spans="3:4" x14ac:dyDescent="0.2">
      <c r="C646" s="807">
        <v>43270</v>
      </c>
      <c r="D646" s="331">
        <v>246594</v>
      </c>
    </row>
    <row r="647" spans="3:4" x14ac:dyDescent="0.2">
      <c r="C647" s="807">
        <v>43271</v>
      </c>
      <c r="D647" s="331">
        <v>246594</v>
      </c>
    </row>
    <row r="648" spans="3:4" x14ac:dyDescent="0.2">
      <c r="C648" s="807">
        <v>43272</v>
      </c>
      <c r="D648" s="331">
        <v>228395.48</v>
      </c>
    </row>
    <row r="649" spans="3:4" x14ac:dyDescent="0.2">
      <c r="C649" s="807">
        <v>43273</v>
      </c>
      <c r="D649" s="331">
        <v>228395</v>
      </c>
    </row>
    <row r="650" spans="3:4" x14ac:dyDescent="0.2">
      <c r="C650" s="807">
        <v>43276</v>
      </c>
      <c r="D650" s="331">
        <v>192627.9</v>
      </c>
    </row>
    <row r="651" spans="3:4" x14ac:dyDescent="0.2">
      <c r="C651" s="807">
        <v>43277</v>
      </c>
      <c r="D651" s="331">
        <v>192628</v>
      </c>
    </row>
    <row r="652" spans="3:4" x14ac:dyDescent="0.2">
      <c r="C652" s="807">
        <v>43278</v>
      </c>
      <c r="D652" s="331">
        <v>192628</v>
      </c>
    </row>
    <row r="653" spans="3:4" x14ac:dyDescent="0.2">
      <c r="C653" s="807">
        <v>43279</v>
      </c>
      <c r="D653" s="331">
        <v>193904.61</v>
      </c>
    </row>
    <row r="654" spans="3:4" x14ac:dyDescent="0.2">
      <c r="C654" s="807">
        <v>43280</v>
      </c>
      <c r="D654" s="331">
        <v>195328.48</v>
      </c>
    </row>
    <row r="655" spans="3:4" x14ac:dyDescent="0.2">
      <c r="C655" s="807">
        <v>43283</v>
      </c>
      <c r="D655" s="331">
        <v>199304.09</v>
      </c>
    </row>
    <row r="656" spans="3:4" x14ac:dyDescent="0.2">
      <c r="C656" s="807">
        <v>43284</v>
      </c>
      <c r="D656" s="331">
        <v>201071.11</v>
      </c>
    </row>
    <row r="657" spans="3:4" x14ac:dyDescent="0.2">
      <c r="C657" s="807">
        <v>43285</v>
      </c>
      <c r="D657" s="331">
        <v>201071</v>
      </c>
    </row>
    <row r="658" spans="3:4" x14ac:dyDescent="0.2">
      <c r="C658" s="807">
        <v>43286</v>
      </c>
      <c r="D658" s="331">
        <v>223298.16</v>
      </c>
    </row>
    <row r="659" spans="3:4" x14ac:dyDescent="0.2">
      <c r="C659" s="807">
        <v>43287</v>
      </c>
      <c r="D659" s="331">
        <v>238962.66</v>
      </c>
    </row>
    <row r="660" spans="3:4" x14ac:dyDescent="0.2">
      <c r="C660" s="807">
        <v>43290</v>
      </c>
      <c r="D660" s="331">
        <v>203086.22</v>
      </c>
    </row>
    <row r="661" spans="3:4" x14ac:dyDescent="0.2">
      <c r="C661" s="807">
        <v>43291</v>
      </c>
      <c r="D661" s="331">
        <v>226930.31</v>
      </c>
    </row>
    <row r="662" spans="3:4" x14ac:dyDescent="0.2">
      <c r="C662" s="807">
        <v>43292</v>
      </c>
      <c r="D662" s="331">
        <v>226930</v>
      </c>
    </row>
    <row r="663" spans="3:4" x14ac:dyDescent="0.2">
      <c r="C663" s="807">
        <v>43293</v>
      </c>
      <c r="D663" s="331">
        <v>220822.05</v>
      </c>
    </row>
    <row r="664" spans="3:4" x14ac:dyDescent="0.2">
      <c r="C664" s="807">
        <v>43294</v>
      </c>
      <c r="D664" s="331">
        <v>220883.3</v>
      </c>
    </row>
    <row r="665" spans="3:4" x14ac:dyDescent="0.2">
      <c r="C665" s="807">
        <v>43297</v>
      </c>
      <c r="D665" s="331">
        <v>220986</v>
      </c>
    </row>
    <row r="666" spans="3:4" x14ac:dyDescent="0.2">
      <c r="C666" s="807">
        <v>43298</v>
      </c>
      <c r="D666" s="331">
        <v>220986</v>
      </c>
    </row>
    <row r="667" spans="3:4" x14ac:dyDescent="0.2">
      <c r="C667" s="807">
        <v>43299</v>
      </c>
      <c r="D667" s="331">
        <v>197995.27</v>
      </c>
    </row>
    <row r="668" spans="3:4" x14ac:dyDescent="0.2">
      <c r="C668" s="807">
        <v>43300</v>
      </c>
      <c r="D668" s="331">
        <v>202931.61</v>
      </c>
    </row>
    <row r="669" spans="3:4" x14ac:dyDescent="0.2">
      <c r="C669" s="807">
        <v>43301</v>
      </c>
      <c r="D669" s="331">
        <v>202932</v>
      </c>
    </row>
    <row r="670" spans="3:4" x14ac:dyDescent="0.2">
      <c r="C670" s="807">
        <v>43304</v>
      </c>
      <c r="D670" s="331">
        <v>167839.6</v>
      </c>
    </row>
    <row r="671" spans="3:4" x14ac:dyDescent="0.2">
      <c r="C671" s="807">
        <v>43305</v>
      </c>
      <c r="D671" s="331">
        <v>167840</v>
      </c>
    </row>
    <row r="672" spans="3:4" x14ac:dyDescent="0.2">
      <c r="C672" s="807">
        <v>43306</v>
      </c>
      <c r="D672" s="331">
        <v>167840</v>
      </c>
    </row>
    <row r="673" spans="3:4" x14ac:dyDescent="0.2">
      <c r="C673" s="807">
        <v>43307</v>
      </c>
      <c r="D673" s="331">
        <v>180485.58</v>
      </c>
    </row>
    <row r="674" spans="3:4" x14ac:dyDescent="0.2">
      <c r="C674" s="807">
        <v>43308</v>
      </c>
      <c r="D674" s="331">
        <v>205676.09</v>
      </c>
    </row>
    <row r="675" spans="3:4" x14ac:dyDescent="0.2">
      <c r="C675" s="807">
        <v>43311</v>
      </c>
      <c r="D675" s="331">
        <v>199229.46</v>
      </c>
    </row>
    <row r="676" spans="3:4" x14ac:dyDescent="0.2">
      <c r="C676" s="807">
        <v>43312</v>
      </c>
      <c r="D676" s="331">
        <v>199612.46</v>
      </c>
    </row>
    <row r="677" spans="3:4" x14ac:dyDescent="0.2">
      <c r="C677" s="807">
        <v>43313</v>
      </c>
      <c r="D677" s="331">
        <v>327321.84000000003</v>
      </c>
    </row>
    <row r="678" spans="3:4" x14ac:dyDescent="0.2">
      <c r="C678" s="807">
        <v>43314</v>
      </c>
      <c r="D678" s="331">
        <v>328551.67</v>
      </c>
    </row>
    <row r="679" spans="3:4" x14ac:dyDescent="0.2">
      <c r="C679" s="807">
        <v>43315</v>
      </c>
      <c r="D679" s="331">
        <v>328552</v>
      </c>
    </row>
    <row r="680" spans="3:4" x14ac:dyDescent="0.2">
      <c r="C680" s="807">
        <v>43318</v>
      </c>
      <c r="D680" s="331">
        <v>293600.95</v>
      </c>
    </row>
    <row r="681" spans="3:4" x14ac:dyDescent="0.2">
      <c r="C681" s="807">
        <v>43319</v>
      </c>
      <c r="D681" s="331">
        <v>298153.56</v>
      </c>
    </row>
    <row r="682" spans="3:4" x14ac:dyDescent="0.2">
      <c r="C682" s="807">
        <v>43320</v>
      </c>
      <c r="D682" s="331">
        <v>298154</v>
      </c>
    </row>
    <row r="683" spans="3:4" x14ac:dyDescent="0.2">
      <c r="C683" s="807">
        <v>43321</v>
      </c>
      <c r="D683" s="331">
        <v>294180.65999999997</v>
      </c>
    </row>
    <row r="684" spans="3:4" x14ac:dyDescent="0.2">
      <c r="C684" s="807">
        <v>43322</v>
      </c>
      <c r="D684" s="331">
        <v>294181</v>
      </c>
    </row>
    <row r="685" spans="3:4" x14ac:dyDescent="0.2">
      <c r="C685" s="807">
        <v>43325</v>
      </c>
      <c r="D685" s="331">
        <v>294679.65999999997</v>
      </c>
    </row>
    <row r="686" spans="3:4" x14ac:dyDescent="0.2">
      <c r="C686" s="807">
        <v>43326</v>
      </c>
      <c r="D686" s="331">
        <v>294680</v>
      </c>
    </row>
    <row r="687" spans="3:4" x14ac:dyDescent="0.2">
      <c r="C687" s="807">
        <v>43327</v>
      </c>
      <c r="D687" s="331">
        <v>294761.65000000002</v>
      </c>
    </row>
    <row r="688" spans="3:4" x14ac:dyDescent="0.2">
      <c r="C688" s="807">
        <v>43328</v>
      </c>
      <c r="D688" s="331">
        <v>290632.52</v>
      </c>
    </row>
    <row r="689" spans="3:4" x14ac:dyDescent="0.2">
      <c r="C689" s="807">
        <v>43329</v>
      </c>
      <c r="D689" s="331">
        <v>290633</v>
      </c>
    </row>
    <row r="690" spans="3:4" x14ac:dyDescent="0.2">
      <c r="C690" s="807">
        <v>43332</v>
      </c>
      <c r="D690" s="331">
        <v>254427.11</v>
      </c>
    </row>
    <row r="691" spans="3:4" x14ac:dyDescent="0.2">
      <c r="C691" s="807">
        <v>43333</v>
      </c>
      <c r="D691" s="331">
        <v>255823.93</v>
      </c>
    </row>
    <row r="692" spans="3:4" x14ac:dyDescent="0.2">
      <c r="C692" s="807">
        <v>43334</v>
      </c>
      <c r="D692" s="331">
        <v>255419.13</v>
      </c>
    </row>
    <row r="693" spans="3:4" x14ac:dyDescent="0.2">
      <c r="C693" s="807">
        <v>43335</v>
      </c>
      <c r="D693" s="331">
        <v>272759.37</v>
      </c>
    </row>
    <row r="694" spans="3:4" x14ac:dyDescent="0.2">
      <c r="C694" s="807">
        <v>43336</v>
      </c>
      <c r="D694" s="331">
        <v>272846.37</v>
      </c>
    </row>
    <row r="695" spans="3:4" x14ac:dyDescent="0.2">
      <c r="C695" s="807">
        <v>43339</v>
      </c>
      <c r="D695" s="331">
        <v>272846</v>
      </c>
    </row>
    <row r="696" spans="3:4" x14ac:dyDescent="0.2">
      <c r="C696" s="807">
        <v>43340</v>
      </c>
      <c r="D696" s="331">
        <v>272846</v>
      </c>
    </row>
    <row r="697" spans="3:4" x14ac:dyDescent="0.2">
      <c r="C697" s="807">
        <v>43341</v>
      </c>
      <c r="D697" s="331">
        <v>276622.58</v>
      </c>
    </row>
    <row r="698" spans="3:4" x14ac:dyDescent="0.2">
      <c r="C698" s="807">
        <v>43342</v>
      </c>
      <c r="D698" s="331">
        <v>276623</v>
      </c>
    </row>
    <row r="699" spans="3:4" x14ac:dyDescent="0.2">
      <c r="C699" s="807">
        <v>43343</v>
      </c>
      <c r="D699" s="331">
        <v>276773.33</v>
      </c>
    </row>
    <row r="700" spans="3:4" x14ac:dyDescent="0.2">
      <c r="C700" s="807">
        <v>43346</v>
      </c>
      <c r="D700" s="331">
        <v>276773</v>
      </c>
    </row>
    <row r="701" spans="3:4" x14ac:dyDescent="0.2">
      <c r="C701" s="807">
        <v>43347</v>
      </c>
      <c r="D701" s="331">
        <v>240090.56</v>
      </c>
    </row>
    <row r="702" spans="3:4" x14ac:dyDescent="0.2">
      <c r="C702" s="807">
        <v>43348</v>
      </c>
      <c r="D702" s="331">
        <v>240091</v>
      </c>
    </row>
    <row r="703" spans="3:4" x14ac:dyDescent="0.2">
      <c r="C703" s="807">
        <v>43349</v>
      </c>
      <c r="D703" s="331">
        <v>237779.31</v>
      </c>
    </row>
    <row r="704" spans="3:4" x14ac:dyDescent="0.2">
      <c r="C704" s="807">
        <v>43350</v>
      </c>
      <c r="D704" s="331">
        <v>237779</v>
      </c>
    </row>
    <row r="705" spans="3:4" x14ac:dyDescent="0.2">
      <c r="C705" s="807">
        <v>43353</v>
      </c>
      <c r="D705" s="331">
        <v>243552.34</v>
      </c>
    </row>
    <row r="706" spans="3:4" x14ac:dyDescent="0.2">
      <c r="C706" s="807">
        <v>43354</v>
      </c>
      <c r="D706" s="331">
        <v>243552</v>
      </c>
    </row>
    <row r="707" spans="3:4" x14ac:dyDescent="0.2">
      <c r="C707" s="807">
        <v>43355</v>
      </c>
      <c r="D707" s="331">
        <v>243552</v>
      </c>
    </row>
    <row r="708" spans="3:4" x14ac:dyDescent="0.2">
      <c r="C708" s="807">
        <v>43356</v>
      </c>
      <c r="D708" s="331">
        <v>266009.96000000002</v>
      </c>
    </row>
    <row r="709" spans="3:4" x14ac:dyDescent="0.2">
      <c r="C709" s="807">
        <v>43357</v>
      </c>
      <c r="D709" s="331">
        <v>266087.59999999998</v>
      </c>
    </row>
    <row r="710" spans="3:4" x14ac:dyDescent="0.2">
      <c r="C710" s="807">
        <v>43360</v>
      </c>
      <c r="D710" s="331">
        <v>229939.6</v>
      </c>
    </row>
    <row r="711" spans="3:4" x14ac:dyDescent="0.2">
      <c r="C711" s="807">
        <v>43361</v>
      </c>
      <c r="D711" s="331">
        <v>229940</v>
      </c>
    </row>
    <row r="712" spans="3:4" x14ac:dyDescent="0.2">
      <c r="C712" s="807">
        <v>43362</v>
      </c>
      <c r="D712" s="331">
        <v>229940</v>
      </c>
    </row>
    <row r="713" spans="3:4" x14ac:dyDescent="0.2">
      <c r="C713" s="807">
        <v>43363</v>
      </c>
      <c r="D713" s="331">
        <v>226983.82</v>
      </c>
    </row>
    <row r="714" spans="3:4" x14ac:dyDescent="0.2">
      <c r="C714" s="807">
        <v>43364</v>
      </c>
      <c r="D714" s="331">
        <v>226983.82</v>
      </c>
    </row>
    <row r="715" spans="3:4" x14ac:dyDescent="0.2">
      <c r="C715" s="807">
        <v>43367</v>
      </c>
      <c r="D715" s="331">
        <v>231167.41</v>
      </c>
    </row>
    <row r="716" spans="3:4" x14ac:dyDescent="0.2">
      <c r="C716" s="807">
        <v>43368</v>
      </c>
      <c r="D716" s="331">
        <v>231298.26</v>
      </c>
    </row>
    <row r="717" spans="3:4" x14ac:dyDescent="0.2">
      <c r="C717" s="807">
        <v>43369</v>
      </c>
      <c r="D717" s="331">
        <v>231298</v>
      </c>
    </row>
    <row r="718" spans="3:4" x14ac:dyDescent="0.2">
      <c r="C718" s="807">
        <v>43370</v>
      </c>
      <c r="D718" s="331">
        <v>218195.44</v>
      </c>
    </row>
    <row r="719" spans="3:4" x14ac:dyDescent="0.2">
      <c r="C719" s="807">
        <v>43371</v>
      </c>
      <c r="D719" s="331">
        <v>218195</v>
      </c>
    </row>
    <row r="720" spans="3:4" x14ac:dyDescent="0.2">
      <c r="C720" s="807">
        <v>43374</v>
      </c>
      <c r="D720" s="331">
        <v>181738.47</v>
      </c>
    </row>
    <row r="721" spans="3:4" x14ac:dyDescent="0.2">
      <c r="C721" s="807">
        <v>43375</v>
      </c>
      <c r="D721" s="331">
        <v>175674.86</v>
      </c>
    </row>
    <row r="722" spans="3:4" x14ac:dyDescent="0.2">
      <c r="C722" s="807">
        <v>43376</v>
      </c>
      <c r="D722" s="331">
        <v>175890.11</v>
      </c>
    </row>
    <row r="723" spans="3:4" x14ac:dyDescent="0.2">
      <c r="C723" s="807">
        <v>43377</v>
      </c>
      <c r="D723" s="331">
        <v>176908.84</v>
      </c>
    </row>
    <row r="724" spans="3:4" x14ac:dyDescent="0.2">
      <c r="C724" s="807">
        <v>43378</v>
      </c>
      <c r="D724" s="331">
        <v>176909</v>
      </c>
    </row>
    <row r="725" spans="3:4" x14ac:dyDescent="0.2">
      <c r="C725" s="807">
        <v>43381</v>
      </c>
      <c r="D725" s="331">
        <v>176909</v>
      </c>
    </row>
    <row r="726" spans="3:4" x14ac:dyDescent="0.2">
      <c r="C726" s="807">
        <v>43382</v>
      </c>
      <c r="D726" s="331">
        <v>226038.22</v>
      </c>
    </row>
    <row r="727" spans="3:4" x14ac:dyDescent="0.2">
      <c r="C727" s="807">
        <v>43383</v>
      </c>
      <c r="D727" s="331">
        <v>226038</v>
      </c>
    </row>
    <row r="728" spans="3:4" x14ac:dyDescent="0.2">
      <c r="C728" s="807">
        <v>43384</v>
      </c>
      <c r="D728" s="331">
        <v>223293.31</v>
      </c>
    </row>
    <row r="729" spans="3:4" x14ac:dyDescent="0.2">
      <c r="C729" s="807">
        <v>43385</v>
      </c>
      <c r="D729" s="331">
        <v>272327.27</v>
      </c>
    </row>
    <row r="730" spans="3:4" x14ac:dyDescent="0.2">
      <c r="C730" s="807">
        <v>43388</v>
      </c>
      <c r="D730" s="331">
        <v>236397.34</v>
      </c>
    </row>
    <row r="731" spans="3:4" x14ac:dyDescent="0.2">
      <c r="C731" s="807">
        <v>43389</v>
      </c>
      <c r="D731" s="331">
        <v>236553.84</v>
      </c>
    </row>
    <row r="732" spans="3:4" x14ac:dyDescent="0.2">
      <c r="C732" s="807">
        <v>43390</v>
      </c>
      <c r="D732" s="331">
        <v>249133.92</v>
      </c>
    </row>
    <row r="733" spans="3:4" x14ac:dyDescent="0.2">
      <c r="C733" s="807">
        <v>43391</v>
      </c>
      <c r="D733" s="331">
        <v>254043.68</v>
      </c>
    </row>
    <row r="734" spans="3:4" x14ac:dyDescent="0.2">
      <c r="C734" s="807">
        <v>43392</v>
      </c>
      <c r="D734" s="331">
        <v>254064.5</v>
      </c>
    </row>
    <row r="735" spans="3:4" x14ac:dyDescent="0.2">
      <c r="C735" s="807">
        <v>43395</v>
      </c>
      <c r="D735" s="331">
        <v>290142.09999999998</v>
      </c>
    </row>
    <row r="736" spans="3:4" x14ac:dyDescent="0.2">
      <c r="C736" s="807">
        <v>43396</v>
      </c>
      <c r="D736" s="331">
        <v>290142</v>
      </c>
    </row>
    <row r="737" spans="3:4" x14ac:dyDescent="0.2">
      <c r="C737" s="807">
        <v>43397</v>
      </c>
      <c r="D737" s="331">
        <v>290034.38</v>
      </c>
    </row>
    <row r="738" spans="3:4" x14ac:dyDescent="0.2">
      <c r="C738" s="807">
        <v>43398</v>
      </c>
      <c r="D738" s="331">
        <v>291747.36</v>
      </c>
    </row>
    <row r="739" spans="3:4" x14ac:dyDescent="0.2">
      <c r="C739" s="807">
        <v>43399</v>
      </c>
      <c r="D739" s="331">
        <v>306637.48</v>
      </c>
    </row>
    <row r="740" spans="3:4" x14ac:dyDescent="0.2">
      <c r="C740" s="807">
        <v>43402</v>
      </c>
      <c r="D740" s="331">
        <v>270401.28999999998</v>
      </c>
    </row>
    <row r="741" spans="3:4" x14ac:dyDescent="0.2">
      <c r="C741" s="807">
        <v>43403</v>
      </c>
      <c r="D741" s="331">
        <v>278028.58</v>
      </c>
    </row>
    <row r="742" spans="3:4" x14ac:dyDescent="0.2">
      <c r="C742" s="807">
        <v>43404</v>
      </c>
      <c r="D742" s="331">
        <v>278029</v>
      </c>
    </row>
    <row r="743" spans="3:4" x14ac:dyDescent="0.2">
      <c r="C743" s="807">
        <v>43405</v>
      </c>
      <c r="D743" s="331">
        <v>279523.53000000003</v>
      </c>
    </row>
    <row r="744" spans="3:4" x14ac:dyDescent="0.2">
      <c r="C744" s="807">
        <v>43406</v>
      </c>
      <c r="D744" s="331">
        <v>303100.06</v>
      </c>
    </row>
    <row r="745" spans="3:4" x14ac:dyDescent="0.2">
      <c r="C745" s="807">
        <v>43409</v>
      </c>
      <c r="D745" s="331">
        <v>303100.06</v>
      </c>
    </row>
    <row r="746" spans="3:4" x14ac:dyDescent="0.2">
      <c r="C746" s="807">
        <v>43410</v>
      </c>
      <c r="D746" s="331">
        <v>303100.06</v>
      </c>
    </row>
    <row r="747" spans="3:4" x14ac:dyDescent="0.2">
      <c r="C747" s="807">
        <v>43411</v>
      </c>
      <c r="D747" s="331">
        <v>303954.14</v>
      </c>
    </row>
    <row r="748" spans="3:4" x14ac:dyDescent="0.2">
      <c r="C748" s="807">
        <v>43412</v>
      </c>
      <c r="D748" s="331">
        <v>294843.14</v>
      </c>
    </row>
    <row r="749" spans="3:4" x14ac:dyDescent="0.2">
      <c r="C749" s="807">
        <v>43413</v>
      </c>
      <c r="D749" s="331">
        <v>294843</v>
      </c>
    </row>
    <row r="750" spans="3:4" x14ac:dyDescent="0.2">
      <c r="C750" s="807">
        <v>43416</v>
      </c>
      <c r="D750" s="331">
        <v>294843</v>
      </c>
    </row>
    <row r="751" spans="3:4" x14ac:dyDescent="0.2">
      <c r="C751" s="807">
        <v>43417</v>
      </c>
      <c r="D751" s="331">
        <v>294843</v>
      </c>
    </row>
    <row r="752" spans="3:4" x14ac:dyDescent="0.2">
      <c r="C752" s="807">
        <v>43418</v>
      </c>
      <c r="D752" s="331">
        <v>259514.47</v>
      </c>
    </row>
    <row r="753" spans="3:4" x14ac:dyDescent="0.2">
      <c r="C753" s="807">
        <v>43419</v>
      </c>
      <c r="D753" s="331">
        <v>255987.45</v>
      </c>
    </row>
    <row r="754" spans="3:4" x14ac:dyDescent="0.2">
      <c r="C754" s="807">
        <v>43420</v>
      </c>
      <c r="D754" s="331">
        <v>255987.45</v>
      </c>
    </row>
    <row r="755" spans="3:4" x14ac:dyDescent="0.2">
      <c r="C755" s="807">
        <v>43423</v>
      </c>
      <c r="D755" s="331">
        <v>255987.45</v>
      </c>
    </row>
    <row r="756" spans="3:4" x14ac:dyDescent="0.2">
      <c r="C756" s="807">
        <v>43424</v>
      </c>
      <c r="D756" s="331">
        <v>254650.75</v>
      </c>
    </row>
    <row r="757" spans="3:4" x14ac:dyDescent="0.2">
      <c r="C757" s="807">
        <v>43425</v>
      </c>
      <c r="D757" s="331">
        <v>298403.21000000002</v>
      </c>
    </row>
    <row r="758" spans="3:4" x14ac:dyDescent="0.2">
      <c r="C758" s="807">
        <v>43426</v>
      </c>
      <c r="D758" s="331">
        <v>300529.64</v>
      </c>
    </row>
    <row r="759" spans="3:4" x14ac:dyDescent="0.2">
      <c r="C759" s="807">
        <v>43427</v>
      </c>
      <c r="D759" s="331">
        <v>300229.64</v>
      </c>
    </row>
    <row r="760" spans="3:4" x14ac:dyDescent="0.2">
      <c r="C760" s="807">
        <v>43430</v>
      </c>
      <c r="D760" s="331">
        <v>300230</v>
      </c>
    </row>
    <row r="761" spans="3:4" x14ac:dyDescent="0.2">
      <c r="C761" s="807">
        <v>43431</v>
      </c>
      <c r="D761" s="331">
        <v>267674.82</v>
      </c>
    </row>
    <row r="762" spans="3:4" x14ac:dyDescent="0.2">
      <c r="C762" s="807">
        <v>43432</v>
      </c>
      <c r="D762" s="331">
        <v>273448.82</v>
      </c>
    </row>
    <row r="763" spans="3:4" x14ac:dyDescent="0.2">
      <c r="C763" s="807">
        <v>43433</v>
      </c>
      <c r="D763" s="331">
        <v>252527.09</v>
      </c>
    </row>
    <row r="764" spans="3:4" x14ac:dyDescent="0.2">
      <c r="C764" s="807">
        <v>43434</v>
      </c>
      <c r="D764" s="331">
        <v>321968.59000000003</v>
      </c>
    </row>
    <row r="765" spans="3:4" x14ac:dyDescent="0.2">
      <c r="C765" s="807">
        <v>43437</v>
      </c>
      <c r="D765" s="331">
        <v>321969</v>
      </c>
    </row>
    <row r="766" spans="3:4" x14ac:dyDescent="0.2">
      <c r="C766" s="807">
        <v>43438</v>
      </c>
      <c r="D766" s="331">
        <v>321969</v>
      </c>
    </row>
    <row r="767" spans="3:4" x14ac:dyDescent="0.2">
      <c r="C767" s="807">
        <v>43439</v>
      </c>
      <c r="D767" s="331">
        <v>321969</v>
      </c>
    </row>
    <row r="768" spans="3:4" x14ac:dyDescent="0.2">
      <c r="C768" s="807">
        <v>43440</v>
      </c>
      <c r="D768" s="331">
        <v>314251.55</v>
      </c>
    </row>
    <row r="769" spans="3:4" x14ac:dyDescent="0.2">
      <c r="C769" s="807">
        <v>43441</v>
      </c>
      <c r="D769" s="331">
        <v>315739.42</v>
      </c>
    </row>
    <row r="770" spans="3:4" x14ac:dyDescent="0.2">
      <c r="C770" s="807">
        <v>43444</v>
      </c>
      <c r="D770" s="331">
        <v>315739</v>
      </c>
    </row>
    <row r="771" spans="3:4" x14ac:dyDescent="0.2">
      <c r="C771" s="807">
        <v>43445</v>
      </c>
      <c r="D771" s="331">
        <v>275506.94</v>
      </c>
    </row>
    <row r="772" spans="3:4" x14ac:dyDescent="0.2">
      <c r="C772" s="807">
        <v>43446</v>
      </c>
      <c r="D772" s="331">
        <v>275507</v>
      </c>
    </row>
    <row r="773" spans="3:4" x14ac:dyDescent="0.2">
      <c r="C773" s="807">
        <v>43447</v>
      </c>
      <c r="D773" s="331">
        <v>289896.89</v>
      </c>
    </row>
    <row r="774" spans="3:4" x14ac:dyDescent="0.2">
      <c r="C774" s="807">
        <v>43448</v>
      </c>
      <c r="D774" s="331">
        <v>313281.34999999998</v>
      </c>
    </row>
    <row r="775" spans="3:4" x14ac:dyDescent="0.2">
      <c r="C775" s="807">
        <v>43451</v>
      </c>
      <c r="D775" s="331">
        <v>313281</v>
      </c>
    </row>
    <row r="776" spans="3:4" x14ac:dyDescent="0.2">
      <c r="C776" s="807">
        <v>43452</v>
      </c>
      <c r="D776" s="331">
        <v>317556.84999999998</v>
      </c>
    </row>
    <row r="777" spans="3:4" x14ac:dyDescent="0.2">
      <c r="C777" s="807">
        <v>43453</v>
      </c>
      <c r="D777" s="331">
        <v>317557</v>
      </c>
    </row>
    <row r="778" spans="3:4" x14ac:dyDescent="0.2">
      <c r="C778" s="807">
        <v>43454</v>
      </c>
      <c r="D778" s="331">
        <v>297159.33</v>
      </c>
    </row>
    <row r="779" spans="3:4" x14ac:dyDescent="0.2">
      <c r="C779" s="807">
        <v>43455</v>
      </c>
      <c r="D779" s="331">
        <v>297159</v>
      </c>
    </row>
    <row r="780" spans="3:4" x14ac:dyDescent="0.2">
      <c r="C780" s="807">
        <v>43458</v>
      </c>
      <c r="D780" s="331">
        <v>260233.37</v>
      </c>
    </row>
    <row r="781" spans="3:4" x14ac:dyDescent="0.2">
      <c r="C781" s="807">
        <v>43459</v>
      </c>
      <c r="D781" s="331">
        <v>260233</v>
      </c>
    </row>
    <row r="782" spans="3:4" x14ac:dyDescent="0.2">
      <c r="C782" s="807">
        <v>43460</v>
      </c>
      <c r="D782" s="331">
        <v>261845.78</v>
      </c>
    </row>
    <row r="783" spans="3:4" x14ac:dyDescent="0.2">
      <c r="C783" s="807">
        <v>43461</v>
      </c>
      <c r="D783" s="331">
        <v>261846</v>
      </c>
    </row>
    <row r="784" spans="3:4" x14ac:dyDescent="0.2">
      <c r="C784" s="807">
        <v>43462</v>
      </c>
      <c r="D784" s="331">
        <v>273805.40000000002</v>
      </c>
    </row>
    <row r="785" spans="3:4" x14ac:dyDescent="0.2">
      <c r="C785" s="807">
        <v>43465</v>
      </c>
      <c r="D785" s="331">
        <v>274104.40000000002</v>
      </c>
    </row>
    <row r="786" spans="3:4" x14ac:dyDescent="0.2">
      <c r="C786" s="807">
        <v>43466</v>
      </c>
      <c r="D786" s="331">
        <v>274101</v>
      </c>
    </row>
    <row r="787" spans="3:4" x14ac:dyDescent="0.2">
      <c r="C787" s="807">
        <v>43467</v>
      </c>
      <c r="D787" s="331">
        <v>299108.40000000002</v>
      </c>
    </row>
    <row r="788" spans="3:4" x14ac:dyDescent="0.2">
      <c r="C788" s="807">
        <v>43468</v>
      </c>
      <c r="D788" s="331">
        <v>298070.78000000003</v>
      </c>
    </row>
    <row r="789" spans="3:4" x14ac:dyDescent="0.2">
      <c r="C789" s="807">
        <v>43469</v>
      </c>
      <c r="D789" s="331">
        <v>298071</v>
      </c>
    </row>
    <row r="790" spans="3:4" x14ac:dyDescent="0.2">
      <c r="C790" s="807">
        <v>43472</v>
      </c>
      <c r="D790" s="331">
        <v>298430.78000000003</v>
      </c>
    </row>
    <row r="791" spans="3:4" x14ac:dyDescent="0.2">
      <c r="C791" s="807">
        <v>43473</v>
      </c>
      <c r="D791" s="331">
        <v>264835.63</v>
      </c>
    </row>
    <row r="792" spans="3:4" x14ac:dyDescent="0.2">
      <c r="C792" s="807">
        <v>43474</v>
      </c>
      <c r="D792" s="331">
        <v>303664.65999999997</v>
      </c>
    </row>
    <row r="793" spans="3:4" x14ac:dyDescent="0.2">
      <c r="C793" s="807">
        <v>43475</v>
      </c>
      <c r="D793" s="331">
        <v>299790.71999999997</v>
      </c>
    </row>
    <row r="794" spans="3:4" x14ac:dyDescent="0.2">
      <c r="C794" s="807">
        <v>43476</v>
      </c>
      <c r="D794" s="331">
        <v>309881.71999999997</v>
      </c>
    </row>
    <row r="795" spans="3:4" x14ac:dyDescent="0.2">
      <c r="C795" s="807">
        <v>43479</v>
      </c>
      <c r="D795" s="331">
        <v>284374.78999999998</v>
      </c>
    </row>
    <row r="796" spans="3:4" x14ac:dyDescent="0.2">
      <c r="C796" s="807">
        <v>43480</v>
      </c>
      <c r="D796" s="331">
        <v>284494.75</v>
      </c>
    </row>
    <row r="797" spans="3:4" x14ac:dyDescent="0.2">
      <c r="C797" s="807">
        <v>43481</v>
      </c>
      <c r="D797" s="331">
        <v>277370.03000000003</v>
      </c>
    </row>
    <row r="798" spans="3:4" x14ac:dyDescent="0.2">
      <c r="C798" s="807">
        <v>43482</v>
      </c>
      <c r="D798" s="331">
        <v>266103.65999999997</v>
      </c>
    </row>
    <row r="799" spans="3:4" x14ac:dyDescent="0.2">
      <c r="C799" s="807">
        <v>43483</v>
      </c>
      <c r="D799" s="331">
        <v>266189.65999999997</v>
      </c>
    </row>
    <row r="800" spans="3:4" x14ac:dyDescent="0.2">
      <c r="C800" s="807">
        <v>43486</v>
      </c>
      <c r="D800" s="331">
        <v>266190</v>
      </c>
    </row>
    <row r="801" spans="3:4" x14ac:dyDescent="0.2">
      <c r="C801" s="807">
        <v>43487</v>
      </c>
      <c r="D801" s="331">
        <v>228832.05</v>
      </c>
    </row>
    <row r="802" spans="3:4" x14ac:dyDescent="0.2">
      <c r="C802" s="807">
        <v>43488</v>
      </c>
      <c r="D802" s="331">
        <v>229285.41</v>
      </c>
    </row>
    <row r="803" spans="3:4" x14ac:dyDescent="0.2">
      <c r="C803" s="807">
        <v>43489</v>
      </c>
      <c r="D803" s="331">
        <v>236709.42</v>
      </c>
    </row>
    <row r="804" spans="3:4" x14ac:dyDescent="0.2">
      <c r="C804" s="807">
        <v>43490</v>
      </c>
      <c r="D804" s="331">
        <v>236709</v>
      </c>
    </row>
    <row r="805" spans="3:4" x14ac:dyDescent="0.2">
      <c r="C805" s="807">
        <v>43493</v>
      </c>
      <c r="D805" s="331">
        <v>236400.88</v>
      </c>
    </row>
    <row r="806" spans="3:4" x14ac:dyDescent="0.2">
      <c r="C806" s="807">
        <v>43494</v>
      </c>
      <c r="D806" s="331">
        <v>236401</v>
      </c>
    </row>
    <row r="807" spans="3:4" x14ac:dyDescent="0.2">
      <c r="C807" s="807">
        <v>43495</v>
      </c>
      <c r="D807" s="331">
        <v>236401</v>
      </c>
    </row>
    <row r="808" spans="3:4" x14ac:dyDescent="0.2">
      <c r="C808" s="807">
        <v>43496</v>
      </c>
      <c r="D808" s="331">
        <v>237605.71</v>
      </c>
    </row>
    <row r="809" spans="3:4" x14ac:dyDescent="0.2">
      <c r="C809" s="807">
        <v>43497</v>
      </c>
      <c r="D809" s="331">
        <v>237728.71</v>
      </c>
    </row>
    <row r="810" spans="3:4" x14ac:dyDescent="0.2">
      <c r="C810" s="807">
        <v>43500</v>
      </c>
      <c r="D810" s="331">
        <v>201980</v>
      </c>
    </row>
    <row r="811" spans="3:4" x14ac:dyDescent="0.2">
      <c r="C811" s="807">
        <v>43501</v>
      </c>
      <c r="D811" s="331">
        <v>225615.34</v>
      </c>
    </row>
    <row r="812" spans="3:4" x14ac:dyDescent="0.2">
      <c r="C812" s="807">
        <v>43502</v>
      </c>
      <c r="D812" s="331">
        <v>225615</v>
      </c>
    </row>
    <row r="813" spans="3:4" x14ac:dyDescent="0.2">
      <c r="C813" s="807">
        <v>43503</v>
      </c>
      <c r="D813" s="331">
        <v>219151.3</v>
      </c>
    </row>
    <row r="814" spans="3:4" x14ac:dyDescent="0.2">
      <c r="C814" s="807">
        <v>43504</v>
      </c>
      <c r="D814" s="331">
        <v>219351.3</v>
      </c>
    </row>
    <row r="815" spans="3:4" x14ac:dyDescent="0.2">
      <c r="C815" s="807">
        <v>43507</v>
      </c>
      <c r="D815" s="331">
        <v>219351</v>
      </c>
    </row>
    <row r="816" spans="3:4" x14ac:dyDescent="0.2">
      <c r="C816" s="807">
        <v>43508</v>
      </c>
      <c r="D816" s="331">
        <v>219351</v>
      </c>
    </row>
    <row r="817" spans="3:4" x14ac:dyDescent="0.2">
      <c r="C817" s="807">
        <v>43509</v>
      </c>
      <c r="D817" s="331">
        <v>219351</v>
      </c>
    </row>
    <row r="818" spans="3:4" x14ac:dyDescent="0.2">
      <c r="C818" s="807">
        <v>43510</v>
      </c>
      <c r="D818" s="331">
        <v>206758.66</v>
      </c>
    </row>
    <row r="819" spans="3:4" x14ac:dyDescent="0.2">
      <c r="C819" s="807">
        <v>43511</v>
      </c>
      <c r="D819" s="331">
        <v>234837.55</v>
      </c>
    </row>
    <row r="820" spans="3:4" x14ac:dyDescent="0.2">
      <c r="C820" s="807">
        <v>43514</v>
      </c>
      <c r="D820" s="331">
        <v>234838</v>
      </c>
    </row>
    <row r="821" spans="3:4" x14ac:dyDescent="0.2">
      <c r="C821" s="807">
        <v>43515</v>
      </c>
      <c r="D821" s="331">
        <v>199113.26</v>
      </c>
    </row>
    <row r="822" spans="3:4" x14ac:dyDescent="0.2">
      <c r="C822" s="807">
        <v>43516</v>
      </c>
      <c r="D822" s="364">
        <v>199113</v>
      </c>
    </row>
    <row r="823" spans="3:4" x14ac:dyDescent="0.2">
      <c r="C823" s="807">
        <v>43517</v>
      </c>
      <c r="D823" s="331">
        <v>205400.17</v>
      </c>
    </row>
    <row r="824" spans="3:4" x14ac:dyDescent="0.2">
      <c r="C824" s="807">
        <v>43518</v>
      </c>
      <c r="D824" s="331">
        <v>220161.91</v>
      </c>
    </row>
    <row r="825" spans="3:4" x14ac:dyDescent="0.2">
      <c r="C825" s="807">
        <v>43521</v>
      </c>
      <c r="D825" s="331">
        <v>220161.91</v>
      </c>
    </row>
    <row r="826" spans="3:4" x14ac:dyDescent="0.2">
      <c r="C826" s="807">
        <v>43522</v>
      </c>
      <c r="D826" s="331">
        <v>220161.91</v>
      </c>
    </row>
    <row r="827" spans="3:4" x14ac:dyDescent="0.2">
      <c r="C827" s="807">
        <v>43523</v>
      </c>
      <c r="D827" s="331">
        <v>220161.91</v>
      </c>
    </row>
    <row r="828" spans="3:4" x14ac:dyDescent="0.2">
      <c r="C828" s="807">
        <v>43524</v>
      </c>
      <c r="D828" s="331">
        <v>224635.26</v>
      </c>
    </row>
    <row r="829" spans="3:4" x14ac:dyDescent="0.2">
      <c r="C829" s="807">
        <v>43525</v>
      </c>
      <c r="D829" s="331">
        <v>298900.61</v>
      </c>
    </row>
    <row r="830" spans="3:4" x14ac:dyDescent="0.2">
      <c r="C830" s="807">
        <v>43528</v>
      </c>
      <c r="D830" s="331">
        <v>262246.8</v>
      </c>
    </row>
    <row r="831" spans="3:4" x14ac:dyDescent="0.2">
      <c r="C831" s="807">
        <v>43529</v>
      </c>
      <c r="D831" s="331">
        <v>262247</v>
      </c>
    </row>
    <row r="832" spans="3:4" x14ac:dyDescent="0.2">
      <c r="C832" s="807">
        <v>43530</v>
      </c>
      <c r="D832" s="331">
        <v>262247</v>
      </c>
    </row>
    <row r="833" spans="3:4" x14ac:dyDescent="0.2">
      <c r="C833" s="807">
        <v>43531</v>
      </c>
      <c r="D833" s="331">
        <v>275395.15000000002</v>
      </c>
    </row>
    <row r="834" spans="3:4" x14ac:dyDescent="0.2">
      <c r="C834" s="807">
        <v>43532</v>
      </c>
      <c r="D834" s="331">
        <v>275395</v>
      </c>
    </row>
    <row r="835" spans="3:4" x14ac:dyDescent="0.2">
      <c r="C835" s="807">
        <v>43535</v>
      </c>
      <c r="D835" s="331">
        <v>275395</v>
      </c>
    </row>
    <row r="836" spans="3:4" x14ac:dyDescent="0.2">
      <c r="C836" s="807">
        <v>43536</v>
      </c>
      <c r="D836" s="331">
        <v>275395</v>
      </c>
    </row>
    <row r="837" spans="3:4" x14ac:dyDescent="0.2">
      <c r="C837" s="807">
        <v>43537</v>
      </c>
      <c r="D837" s="331">
        <v>316802.46999999997</v>
      </c>
    </row>
    <row r="838" spans="3:4" x14ac:dyDescent="0.2">
      <c r="C838" s="807">
        <v>43538</v>
      </c>
      <c r="D838" s="331">
        <v>297067.40000000002</v>
      </c>
    </row>
    <row r="839" spans="3:4" x14ac:dyDescent="0.2">
      <c r="C839" s="807">
        <v>43539</v>
      </c>
      <c r="D839" s="331">
        <v>300574.83</v>
      </c>
    </row>
    <row r="840" spans="3:4" x14ac:dyDescent="0.2">
      <c r="C840" s="807">
        <v>43542</v>
      </c>
      <c r="D840" s="331">
        <v>264695.24</v>
      </c>
    </row>
    <row r="841" spans="3:4" x14ac:dyDescent="0.2">
      <c r="C841" s="807">
        <v>43543</v>
      </c>
      <c r="D841" s="331">
        <v>264695</v>
      </c>
    </row>
    <row r="842" spans="3:4" x14ac:dyDescent="0.2">
      <c r="C842" s="807">
        <v>43544</v>
      </c>
      <c r="D842" s="331">
        <v>264695</v>
      </c>
    </row>
    <row r="843" spans="3:4" x14ac:dyDescent="0.2">
      <c r="C843" s="807">
        <v>43545</v>
      </c>
      <c r="D843" s="331">
        <v>282838.67</v>
      </c>
    </row>
    <row r="844" spans="3:4" x14ac:dyDescent="0.2">
      <c r="C844" s="807">
        <v>43546</v>
      </c>
      <c r="D844" s="331">
        <v>282839</v>
      </c>
    </row>
    <row r="845" spans="3:4" x14ac:dyDescent="0.2">
      <c r="C845" s="807">
        <v>43549</v>
      </c>
      <c r="D845" s="364">
        <v>333807.26</v>
      </c>
    </row>
    <row r="846" spans="3:4" x14ac:dyDescent="0.2">
      <c r="C846" s="807">
        <v>43550</v>
      </c>
      <c r="D846" s="331">
        <v>332295.96000000002</v>
      </c>
    </row>
    <row r="847" spans="3:4" x14ac:dyDescent="0.2">
      <c r="C847" s="807">
        <v>43551</v>
      </c>
      <c r="D847" s="331">
        <v>325401.01</v>
      </c>
    </row>
    <row r="848" spans="3:4" x14ac:dyDescent="0.2">
      <c r="C848" s="807">
        <v>43552</v>
      </c>
      <c r="D848" s="331">
        <v>328793.55</v>
      </c>
    </row>
    <row r="849" spans="3:4" x14ac:dyDescent="0.2">
      <c r="C849" s="807">
        <v>43553</v>
      </c>
      <c r="D849" s="331">
        <v>329088.55</v>
      </c>
    </row>
    <row r="850" spans="3:4" x14ac:dyDescent="0.2">
      <c r="C850" s="807">
        <v>43556</v>
      </c>
      <c r="D850" s="331">
        <v>328488.55</v>
      </c>
    </row>
    <row r="851" spans="3:4" x14ac:dyDescent="0.2">
      <c r="C851" s="807">
        <v>43557</v>
      </c>
      <c r="D851" s="331">
        <v>292528.71999999997</v>
      </c>
    </row>
    <row r="852" spans="3:4" x14ac:dyDescent="0.2">
      <c r="C852" s="807">
        <v>43558</v>
      </c>
      <c r="D852" s="331">
        <v>294672.43</v>
      </c>
    </row>
    <row r="853" spans="3:4" x14ac:dyDescent="0.2">
      <c r="C853" s="807">
        <v>43559</v>
      </c>
      <c r="D853" s="331">
        <v>292850.33</v>
      </c>
    </row>
    <row r="854" spans="3:4" x14ac:dyDescent="0.2">
      <c r="C854" s="807">
        <v>43560</v>
      </c>
      <c r="D854" s="331">
        <v>284702.78999999998</v>
      </c>
    </row>
    <row r="855" spans="3:4" x14ac:dyDescent="0.2">
      <c r="C855" s="807">
        <v>43563</v>
      </c>
      <c r="D855" s="331">
        <v>284703</v>
      </c>
    </row>
    <row r="856" spans="3:4" x14ac:dyDescent="0.2">
      <c r="C856" s="807">
        <v>43564</v>
      </c>
      <c r="D856" s="331">
        <v>284775.52</v>
      </c>
    </row>
    <row r="857" spans="3:4" x14ac:dyDescent="0.2">
      <c r="C857" s="807">
        <v>43565</v>
      </c>
      <c r="D857" s="331">
        <v>284776</v>
      </c>
    </row>
    <row r="858" spans="3:4" x14ac:dyDescent="0.2">
      <c r="C858" s="807">
        <v>43566</v>
      </c>
      <c r="D858" s="331">
        <v>277335.02</v>
      </c>
    </row>
    <row r="859" spans="3:4" x14ac:dyDescent="0.2">
      <c r="C859" s="807">
        <v>43567</v>
      </c>
      <c r="D859" s="331">
        <v>277335</v>
      </c>
    </row>
    <row r="860" spans="3:4" x14ac:dyDescent="0.2">
      <c r="C860" s="807">
        <v>43570</v>
      </c>
      <c r="D860" s="331">
        <v>277462.90999999997</v>
      </c>
    </row>
    <row r="861" spans="3:4" x14ac:dyDescent="0.2">
      <c r="C861" s="807">
        <v>43571</v>
      </c>
      <c r="D861" s="331">
        <v>241180.07</v>
      </c>
    </row>
    <row r="862" spans="3:4" x14ac:dyDescent="0.2">
      <c r="C862" s="807">
        <v>43572</v>
      </c>
      <c r="D862" s="331">
        <v>257634.61</v>
      </c>
    </row>
    <row r="863" spans="3:4" x14ac:dyDescent="0.2">
      <c r="C863" s="807">
        <v>43573</v>
      </c>
      <c r="D863" s="331">
        <v>241154.55</v>
      </c>
    </row>
    <row r="864" spans="3:4" x14ac:dyDescent="0.2">
      <c r="C864" s="807">
        <v>43574</v>
      </c>
      <c r="D864" s="331">
        <v>243162.78</v>
      </c>
    </row>
    <row r="865" spans="3:4" x14ac:dyDescent="0.2">
      <c r="C865" s="807">
        <v>43577</v>
      </c>
      <c r="D865" s="331">
        <v>243003.93</v>
      </c>
    </row>
    <row r="866" spans="3:4" x14ac:dyDescent="0.2">
      <c r="C866" s="807">
        <v>43578</v>
      </c>
      <c r="D866" s="331">
        <v>243004</v>
      </c>
    </row>
    <row r="867" spans="3:4" x14ac:dyDescent="0.2">
      <c r="C867" s="807">
        <v>43579</v>
      </c>
      <c r="D867" s="331">
        <v>243060.55</v>
      </c>
    </row>
    <row r="868" spans="3:4" x14ac:dyDescent="0.2">
      <c r="C868" s="807">
        <v>43580</v>
      </c>
      <c r="D868" s="331">
        <v>245074.5</v>
      </c>
    </row>
    <row r="869" spans="3:4" x14ac:dyDescent="0.2">
      <c r="C869" s="807">
        <v>43581</v>
      </c>
      <c r="D869" s="331">
        <v>274493.84000000003</v>
      </c>
    </row>
    <row r="870" spans="3:4" x14ac:dyDescent="0.2">
      <c r="C870" s="807">
        <v>43584</v>
      </c>
      <c r="D870" s="331">
        <v>274494</v>
      </c>
    </row>
    <row r="871" spans="3:4" x14ac:dyDescent="0.2">
      <c r="C871" s="807">
        <v>43585</v>
      </c>
      <c r="D871" s="331">
        <v>268536.75</v>
      </c>
    </row>
    <row r="872" spans="3:4" x14ac:dyDescent="0.2">
      <c r="C872" s="807">
        <v>43586</v>
      </c>
      <c r="D872" s="331">
        <v>249086.1</v>
      </c>
    </row>
    <row r="873" spans="3:4" x14ac:dyDescent="0.2">
      <c r="C873" s="807">
        <v>43587</v>
      </c>
      <c r="D873" s="331">
        <v>253347.36</v>
      </c>
    </row>
    <row r="874" spans="3:4" x14ac:dyDescent="0.2">
      <c r="C874" s="807">
        <v>43588</v>
      </c>
      <c r="D874" s="331">
        <v>253347</v>
      </c>
    </row>
    <row r="875" spans="3:4" x14ac:dyDescent="0.2">
      <c r="C875" s="807">
        <v>43591</v>
      </c>
      <c r="D875" s="331">
        <v>253347</v>
      </c>
    </row>
    <row r="876" spans="3:4" x14ac:dyDescent="0.2">
      <c r="C876" s="807">
        <v>43592</v>
      </c>
      <c r="D876" s="331">
        <v>253347</v>
      </c>
    </row>
    <row r="877" spans="3:4" x14ac:dyDescent="0.2">
      <c r="C877" s="807">
        <v>43593</v>
      </c>
      <c r="D877" s="331">
        <v>253347</v>
      </c>
    </row>
    <row r="878" spans="3:4" x14ac:dyDescent="0.2">
      <c r="C878" s="807">
        <v>43594</v>
      </c>
      <c r="D878" s="331">
        <v>256363.47</v>
      </c>
    </row>
    <row r="879" spans="3:4" x14ac:dyDescent="0.2">
      <c r="C879" s="807">
        <v>43595</v>
      </c>
      <c r="D879" s="331">
        <v>256363</v>
      </c>
    </row>
    <row r="880" spans="3:4" x14ac:dyDescent="0.2">
      <c r="C880" s="807">
        <v>43598</v>
      </c>
      <c r="D880" s="331">
        <v>256363</v>
      </c>
    </row>
    <row r="881" spans="3:4" x14ac:dyDescent="0.2">
      <c r="C881" s="807">
        <v>43599</v>
      </c>
      <c r="D881" s="331">
        <v>220671.47</v>
      </c>
    </row>
    <row r="882" spans="3:4" x14ac:dyDescent="0.2">
      <c r="C882" s="807">
        <v>43600</v>
      </c>
      <c r="D882" s="331">
        <v>248680.89</v>
      </c>
    </row>
    <row r="883" spans="3:4" x14ac:dyDescent="0.2">
      <c r="C883" s="807">
        <v>43601</v>
      </c>
      <c r="D883" s="331">
        <v>254567.98</v>
      </c>
    </row>
    <row r="884" spans="3:4" x14ac:dyDescent="0.2">
      <c r="C884" s="807">
        <v>43602</v>
      </c>
      <c r="D884" s="331">
        <v>310563.12</v>
      </c>
    </row>
    <row r="885" spans="3:4" x14ac:dyDescent="0.2">
      <c r="C885" s="807">
        <v>43605</v>
      </c>
      <c r="D885" s="331">
        <v>310000.12</v>
      </c>
    </row>
    <row r="886" spans="3:4" x14ac:dyDescent="0.2">
      <c r="C886" s="807">
        <v>43606</v>
      </c>
      <c r="D886" s="331">
        <v>310000.12</v>
      </c>
    </row>
    <row r="887" spans="3:4" x14ac:dyDescent="0.2">
      <c r="C887" s="807">
        <v>43607</v>
      </c>
      <c r="D887" s="331">
        <v>310000.12</v>
      </c>
    </row>
    <row r="888" spans="3:4" x14ac:dyDescent="0.2">
      <c r="C888" s="807">
        <v>43608</v>
      </c>
      <c r="D888" s="331">
        <v>300109.28999999998</v>
      </c>
    </row>
    <row r="889" spans="3:4" x14ac:dyDescent="0.2">
      <c r="C889" s="807">
        <v>43609</v>
      </c>
      <c r="D889" s="331">
        <v>297396.90999999997</v>
      </c>
    </row>
    <row r="890" spans="3:4" x14ac:dyDescent="0.2">
      <c r="C890" s="807">
        <v>43612</v>
      </c>
      <c r="D890" s="331">
        <v>297397</v>
      </c>
    </row>
    <row r="891" spans="3:4" x14ac:dyDescent="0.2">
      <c r="C891" s="807">
        <v>43613</v>
      </c>
      <c r="D891" s="331">
        <v>309520.18</v>
      </c>
    </row>
    <row r="892" spans="3:4" x14ac:dyDescent="0.2">
      <c r="C892" s="807">
        <v>43614</v>
      </c>
      <c r="D892" s="331">
        <v>309520</v>
      </c>
    </row>
    <row r="893" spans="3:4" x14ac:dyDescent="0.2">
      <c r="C893" s="807">
        <v>43615</v>
      </c>
      <c r="D893" s="331">
        <v>306153.90000000002</v>
      </c>
    </row>
    <row r="894" spans="3:4" x14ac:dyDescent="0.2">
      <c r="C894" s="807">
        <v>43616</v>
      </c>
      <c r="D894" s="331">
        <v>307621.78000000003</v>
      </c>
    </row>
    <row r="895" spans="3:4" x14ac:dyDescent="0.2">
      <c r="C895" s="807">
        <v>43619</v>
      </c>
      <c r="D895" s="331">
        <v>307288.12</v>
      </c>
    </row>
    <row r="896" spans="3:4" x14ac:dyDescent="0.2">
      <c r="C896" s="807">
        <v>43620</v>
      </c>
      <c r="D896" s="331">
        <v>307288</v>
      </c>
    </row>
    <row r="897" spans="3:4" x14ac:dyDescent="0.2">
      <c r="C897" s="807">
        <v>43621</v>
      </c>
      <c r="D897" s="331">
        <v>307288</v>
      </c>
    </row>
    <row r="898" spans="3:4" x14ac:dyDescent="0.2">
      <c r="C898" s="807">
        <v>43622</v>
      </c>
      <c r="D898" s="331">
        <v>296580.19</v>
      </c>
    </row>
    <row r="899" spans="3:4" x14ac:dyDescent="0.2">
      <c r="C899" s="807">
        <v>43623</v>
      </c>
      <c r="D899" s="331">
        <v>295981.95</v>
      </c>
    </row>
    <row r="900" spans="3:4" x14ac:dyDescent="0.2">
      <c r="C900" s="807">
        <v>43626</v>
      </c>
      <c r="D900" s="331">
        <v>260513.06</v>
      </c>
    </row>
    <row r="901" spans="3:4" x14ac:dyDescent="0.2">
      <c r="C901" s="807">
        <v>43627</v>
      </c>
      <c r="D901" s="331">
        <v>260513</v>
      </c>
    </row>
    <row r="902" spans="3:4" x14ac:dyDescent="0.2">
      <c r="C902" s="807">
        <v>43628</v>
      </c>
      <c r="D902" s="331">
        <v>260513</v>
      </c>
    </row>
    <row r="903" spans="3:4" x14ac:dyDescent="0.2">
      <c r="C903" s="807">
        <v>43629</v>
      </c>
      <c r="D903" s="331">
        <v>255966.98</v>
      </c>
    </row>
    <row r="904" spans="3:4" x14ac:dyDescent="0.2">
      <c r="C904" s="807">
        <v>43630</v>
      </c>
      <c r="D904" s="331">
        <v>257507.94</v>
      </c>
    </row>
    <row r="905" spans="3:4" x14ac:dyDescent="0.2">
      <c r="C905" s="807">
        <v>43633</v>
      </c>
      <c r="D905" s="331">
        <v>257508</v>
      </c>
    </row>
    <row r="906" spans="3:4" x14ac:dyDescent="0.2">
      <c r="C906" s="807">
        <v>43634</v>
      </c>
      <c r="D906" s="331">
        <v>257508</v>
      </c>
    </row>
    <row r="907" spans="3:4" x14ac:dyDescent="0.2">
      <c r="C907" s="807">
        <v>43635</v>
      </c>
      <c r="D907" s="331">
        <v>257508</v>
      </c>
    </row>
    <row r="908" spans="3:4" x14ac:dyDescent="0.2">
      <c r="C908" s="807">
        <v>43636</v>
      </c>
      <c r="D908" s="331">
        <v>245601.94</v>
      </c>
    </row>
    <row r="909" spans="3:4" x14ac:dyDescent="0.2">
      <c r="C909" s="807">
        <v>43637</v>
      </c>
      <c r="D909" s="331">
        <v>245768.94</v>
      </c>
    </row>
    <row r="910" spans="3:4" x14ac:dyDescent="0.2">
      <c r="C910" s="807">
        <v>43640</v>
      </c>
      <c r="D910" s="331">
        <v>245769</v>
      </c>
    </row>
    <row r="911" spans="3:4" x14ac:dyDescent="0.2">
      <c r="C911" s="807">
        <v>43641</v>
      </c>
      <c r="D911" s="331">
        <v>209143.06</v>
      </c>
    </row>
    <row r="912" spans="3:4" x14ac:dyDescent="0.2">
      <c r="C912" s="807">
        <v>43642</v>
      </c>
      <c r="D912" s="331">
        <v>216087.16</v>
      </c>
    </row>
    <row r="913" spans="3:4" x14ac:dyDescent="0.2">
      <c r="C913" s="807">
        <v>43643</v>
      </c>
      <c r="D913" s="331">
        <v>218399.34</v>
      </c>
    </row>
    <row r="914" spans="3:4" x14ac:dyDescent="0.2">
      <c r="C914" s="807">
        <v>43644</v>
      </c>
      <c r="D914" s="331">
        <v>246675.15</v>
      </c>
    </row>
    <row r="915" spans="3:4" x14ac:dyDescent="0.2">
      <c r="C915" s="807">
        <v>43647</v>
      </c>
      <c r="D915" s="331">
        <v>246675</v>
      </c>
    </row>
    <row r="916" spans="3:4" x14ac:dyDescent="0.2">
      <c r="C916" s="807">
        <v>43648</v>
      </c>
      <c r="D916" s="331">
        <v>248377.32</v>
      </c>
    </row>
    <row r="917" spans="3:4" x14ac:dyDescent="0.2">
      <c r="C917" s="807">
        <v>43649</v>
      </c>
      <c r="D917" s="331">
        <v>277944.71000000002</v>
      </c>
    </row>
    <row r="918" spans="3:4" x14ac:dyDescent="0.2">
      <c r="C918" s="807">
        <v>43650</v>
      </c>
      <c r="D918" s="331">
        <v>277945</v>
      </c>
    </row>
    <row r="919" spans="3:4" x14ac:dyDescent="0.2">
      <c r="C919" s="807">
        <v>43651</v>
      </c>
      <c r="D919" s="331">
        <v>278046.71000000002</v>
      </c>
    </row>
    <row r="920" spans="3:4" x14ac:dyDescent="0.2">
      <c r="C920" s="807">
        <v>43654</v>
      </c>
      <c r="D920" s="331">
        <v>282590.19</v>
      </c>
    </row>
    <row r="921" spans="3:4" x14ac:dyDescent="0.2">
      <c r="C921" s="807">
        <v>43655</v>
      </c>
      <c r="D921" s="331">
        <v>247195.73</v>
      </c>
    </row>
    <row r="922" spans="3:4" x14ac:dyDescent="0.2">
      <c r="C922" s="807">
        <v>43656</v>
      </c>
      <c r="D922" s="331">
        <v>247195.73</v>
      </c>
    </row>
    <row r="923" spans="3:4" x14ac:dyDescent="0.2">
      <c r="C923" s="807">
        <v>43657</v>
      </c>
      <c r="D923" s="331">
        <v>235813.1</v>
      </c>
    </row>
    <row r="924" spans="3:4" x14ac:dyDescent="0.2">
      <c r="C924" s="807">
        <v>43658</v>
      </c>
      <c r="D924" s="331">
        <v>237210.07</v>
      </c>
    </row>
    <row r="925" spans="3:4" x14ac:dyDescent="0.2">
      <c r="C925" s="807">
        <v>43661</v>
      </c>
      <c r="D925" s="331">
        <v>237490.39</v>
      </c>
    </row>
    <row r="926" spans="3:4" x14ac:dyDescent="0.2">
      <c r="C926" s="807">
        <v>43662</v>
      </c>
      <c r="D926" s="331">
        <v>237490</v>
      </c>
    </row>
    <row r="927" spans="3:4" x14ac:dyDescent="0.2">
      <c r="C927" s="807">
        <v>43663</v>
      </c>
      <c r="D927" s="331">
        <v>237490.39</v>
      </c>
    </row>
    <row r="928" spans="3:4" x14ac:dyDescent="0.2">
      <c r="C928" s="807">
        <v>43664</v>
      </c>
      <c r="D928" s="331">
        <v>232593.57</v>
      </c>
    </row>
    <row r="929" spans="3:4" x14ac:dyDescent="0.2">
      <c r="C929" s="807">
        <v>43665</v>
      </c>
      <c r="D929" s="331">
        <v>232923.06</v>
      </c>
    </row>
    <row r="930" spans="3:4" x14ac:dyDescent="0.2">
      <c r="C930" s="807">
        <v>43668</v>
      </c>
      <c r="D930" s="331">
        <v>196798.51</v>
      </c>
    </row>
    <row r="931" spans="3:4" x14ac:dyDescent="0.2">
      <c r="C931" s="807">
        <v>43669</v>
      </c>
      <c r="D931" s="331">
        <v>199629.38</v>
      </c>
    </row>
    <row r="932" spans="3:4" x14ac:dyDescent="0.2">
      <c r="C932" s="807">
        <v>43670</v>
      </c>
      <c r="D932" s="331">
        <v>199629</v>
      </c>
    </row>
    <row r="933" spans="3:4" x14ac:dyDescent="0.2">
      <c r="C933" s="807">
        <v>43671</v>
      </c>
      <c r="D933" s="331">
        <v>195151.45</v>
      </c>
    </row>
    <row r="934" spans="3:4" x14ac:dyDescent="0.2">
      <c r="C934" s="807">
        <v>43672</v>
      </c>
      <c r="D934" s="331">
        <v>228843.78</v>
      </c>
    </row>
    <row r="935" spans="3:4" x14ac:dyDescent="0.2">
      <c r="C935" s="807">
        <v>43675</v>
      </c>
      <c r="D935" s="331">
        <v>228844</v>
      </c>
    </row>
    <row r="936" spans="3:4" x14ac:dyDescent="0.2">
      <c r="C936" s="807">
        <v>43676</v>
      </c>
      <c r="D936" s="331">
        <v>228844</v>
      </c>
    </row>
    <row r="937" spans="3:4" x14ac:dyDescent="0.2">
      <c r="C937" s="807">
        <v>43677</v>
      </c>
      <c r="D937" s="331">
        <v>229051.78</v>
      </c>
    </row>
    <row r="938" spans="3:4" x14ac:dyDescent="0.2">
      <c r="C938" s="807">
        <v>43678</v>
      </c>
      <c r="D938" s="331">
        <v>234767.17</v>
      </c>
    </row>
    <row r="939" spans="3:4" x14ac:dyDescent="0.2">
      <c r="C939" s="807">
        <v>43679</v>
      </c>
      <c r="D939" s="331">
        <v>236117.76000000001</v>
      </c>
    </row>
    <row r="940" spans="3:4" x14ac:dyDescent="0.2">
      <c r="C940" s="807">
        <v>43682</v>
      </c>
      <c r="D940" s="331">
        <v>236118</v>
      </c>
    </row>
    <row r="941" spans="3:4" x14ac:dyDescent="0.2">
      <c r="C941" s="807">
        <v>43683</v>
      </c>
      <c r="D941" s="331">
        <v>208888.5</v>
      </c>
    </row>
    <row r="942" spans="3:4" x14ac:dyDescent="0.2">
      <c r="C942" s="807">
        <v>43684</v>
      </c>
      <c r="D942" s="331">
        <v>208792.5</v>
      </c>
    </row>
    <row r="943" spans="3:4" x14ac:dyDescent="0.2">
      <c r="C943" s="807">
        <v>43685</v>
      </c>
      <c r="D943" s="331">
        <v>203219.37</v>
      </c>
    </row>
    <row r="944" spans="3:4" x14ac:dyDescent="0.2">
      <c r="C944" s="807">
        <v>43686</v>
      </c>
      <c r="D944" s="331">
        <v>205639.37</v>
      </c>
    </row>
    <row r="945" spans="3:4" x14ac:dyDescent="0.2">
      <c r="C945" s="807">
        <v>43689</v>
      </c>
      <c r="D945" s="331">
        <v>205639.37</v>
      </c>
    </row>
    <row r="946" spans="3:4" x14ac:dyDescent="0.2">
      <c r="C946" s="807">
        <v>43690</v>
      </c>
      <c r="D946" s="331">
        <v>232145.73</v>
      </c>
    </row>
    <row r="947" spans="3:4" x14ac:dyDescent="0.2">
      <c r="C947" s="807">
        <v>43691</v>
      </c>
      <c r="D947" s="331">
        <v>233325.32</v>
      </c>
    </row>
    <row r="948" spans="3:4" x14ac:dyDescent="0.2">
      <c r="C948" s="807">
        <v>43692</v>
      </c>
      <c r="D948" s="331">
        <v>225375.98</v>
      </c>
    </row>
    <row r="949" spans="3:4" x14ac:dyDescent="0.2">
      <c r="C949" s="807">
        <v>43693</v>
      </c>
      <c r="D949" s="331">
        <v>225424.1</v>
      </c>
    </row>
    <row r="950" spans="3:4" x14ac:dyDescent="0.2">
      <c r="C950" s="807">
        <v>43696</v>
      </c>
      <c r="D950" s="331">
        <v>187365.06</v>
      </c>
    </row>
    <row r="951" spans="3:4" x14ac:dyDescent="0.2">
      <c r="C951" s="807">
        <v>43697</v>
      </c>
      <c r="D951" s="331">
        <v>187365</v>
      </c>
    </row>
    <row r="952" spans="3:4" x14ac:dyDescent="0.2">
      <c r="C952" s="807">
        <v>43698</v>
      </c>
      <c r="D952" s="331">
        <v>187365</v>
      </c>
    </row>
    <row r="953" spans="3:4" x14ac:dyDescent="0.2">
      <c r="C953" s="807">
        <v>43699</v>
      </c>
      <c r="D953" s="364">
        <v>172667.6</v>
      </c>
    </row>
    <row r="954" spans="3:4" x14ac:dyDescent="0.2">
      <c r="C954" s="807">
        <v>43700</v>
      </c>
      <c r="D954" s="331">
        <v>172668</v>
      </c>
    </row>
    <row r="955" spans="3:4" x14ac:dyDescent="0.2">
      <c r="C955" s="807">
        <v>43703</v>
      </c>
      <c r="D955" s="331">
        <v>236616.35</v>
      </c>
    </row>
    <row r="956" spans="3:4" x14ac:dyDescent="0.2">
      <c r="C956" s="807">
        <v>43704</v>
      </c>
      <c r="D956" s="331">
        <v>237913.62</v>
      </c>
    </row>
    <row r="957" spans="3:4" x14ac:dyDescent="0.2">
      <c r="C957" s="807">
        <v>43705</v>
      </c>
      <c r="D957" s="331">
        <v>237914</v>
      </c>
    </row>
    <row r="958" spans="3:4" x14ac:dyDescent="0.2">
      <c r="C958" s="807">
        <v>43706</v>
      </c>
      <c r="D958" s="331">
        <v>244708.19</v>
      </c>
    </row>
    <row r="959" spans="3:4" x14ac:dyDescent="0.2">
      <c r="C959" s="807">
        <v>43707</v>
      </c>
      <c r="D959" s="331">
        <v>249899.19</v>
      </c>
    </row>
    <row r="960" spans="3:4" x14ac:dyDescent="0.2">
      <c r="C960" s="807">
        <v>43710</v>
      </c>
      <c r="D960" s="331">
        <v>249899</v>
      </c>
    </row>
    <row r="961" spans="3:4" x14ac:dyDescent="0.2">
      <c r="C961" s="807">
        <v>43711</v>
      </c>
      <c r="D961" s="331">
        <v>215930.73</v>
      </c>
    </row>
    <row r="962" spans="3:4" x14ac:dyDescent="0.2">
      <c r="C962" s="807">
        <v>43712</v>
      </c>
      <c r="D962" s="331">
        <v>215931</v>
      </c>
    </row>
    <row r="963" spans="3:4" x14ac:dyDescent="0.2">
      <c r="C963" s="807">
        <v>43713</v>
      </c>
      <c r="D963" s="331">
        <v>205664.34</v>
      </c>
    </row>
    <row r="964" spans="3:4" x14ac:dyDescent="0.2">
      <c r="C964" s="807">
        <v>43714</v>
      </c>
      <c r="D964" s="331">
        <v>205830.34</v>
      </c>
    </row>
    <row r="965" spans="3:4" x14ac:dyDescent="0.2">
      <c r="C965" s="807">
        <v>43717</v>
      </c>
      <c r="D965" s="331">
        <v>205830</v>
      </c>
    </row>
    <row r="966" spans="3:4" x14ac:dyDescent="0.2">
      <c r="C966" s="807">
        <v>43718</v>
      </c>
      <c r="D966" s="331">
        <v>205830</v>
      </c>
    </row>
    <row r="967" spans="3:4" x14ac:dyDescent="0.2">
      <c r="C967" s="807">
        <v>43719</v>
      </c>
      <c r="D967" s="331">
        <v>205830</v>
      </c>
    </row>
    <row r="968" spans="3:4" x14ac:dyDescent="0.2">
      <c r="C968" s="807">
        <v>43720</v>
      </c>
      <c r="D968" s="331">
        <v>207654.61</v>
      </c>
    </row>
    <row r="969" spans="3:4" x14ac:dyDescent="0.2">
      <c r="C969" s="807">
        <v>43721</v>
      </c>
      <c r="D969" s="331">
        <v>207743.24</v>
      </c>
    </row>
    <row r="970" spans="3:4" x14ac:dyDescent="0.2">
      <c r="C970" s="807">
        <v>43724</v>
      </c>
      <c r="D970" s="331">
        <v>207845.42</v>
      </c>
    </row>
    <row r="971" spans="3:4" x14ac:dyDescent="0.2">
      <c r="C971" s="807">
        <v>43725</v>
      </c>
      <c r="D971" s="331">
        <v>173840.8</v>
      </c>
    </row>
    <row r="972" spans="3:4" x14ac:dyDescent="0.2">
      <c r="C972" s="807">
        <v>43726</v>
      </c>
      <c r="D972" s="331">
        <v>212383.95</v>
      </c>
    </row>
    <row r="973" spans="3:4" x14ac:dyDescent="0.2">
      <c r="C973" s="807">
        <v>43727</v>
      </c>
      <c r="D973" s="331">
        <v>205141.98</v>
      </c>
    </row>
    <row r="974" spans="3:4" x14ac:dyDescent="0.2">
      <c r="C974" s="807">
        <v>43728</v>
      </c>
      <c r="D974" s="331">
        <v>205834.98</v>
      </c>
    </row>
    <row r="975" spans="3:4" x14ac:dyDescent="0.2">
      <c r="C975" s="807">
        <v>43731</v>
      </c>
      <c r="D975" s="331">
        <v>205884.98</v>
      </c>
    </row>
    <row r="976" spans="3:4" x14ac:dyDescent="0.2">
      <c r="C976" s="807">
        <v>43732</v>
      </c>
      <c r="D976" s="331">
        <v>205884.98</v>
      </c>
    </row>
    <row r="977" spans="3:4" x14ac:dyDescent="0.2">
      <c r="C977" s="807">
        <v>43733</v>
      </c>
      <c r="D977" s="331">
        <v>231641.34</v>
      </c>
    </row>
    <row r="978" spans="3:4" x14ac:dyDescent="0.2">
      <c r="C978" s="807">
        <v>43734</v>
      </c>
      <c r="D978" s="331">
        <v>236338.62</v>
      </c>
    </row>
    <row r="979" spans="3:4" x14ac:dyDescent="0.2">
      <c r="C979" s="807">
        <v>43735</v>
      </c>
      <c r="D979" s="331">
        <v>269514.5</v>
      </c>
    </row>
    <row r="980" spans="3:4" x14ac:dyDescent="0.2">
      <c r="C980" s="807">
        <v>43738</v>
      </c>
      <c r="D980" s="331">
        <v>287654.26</v>
      </c>
    </row>
    <row r="981" spans="3:4" x14ac:dyDescent="0.2">
      <c r="C981" s="807">
        <v>43739</v>
      </c>
      <c r="D981" s="331">
        <v>254047.41</v>
      </c>
    </row>
    <row r="982" spans="3:4" x14ac:dyDescent="0.2">
      <c r="C982" s="807">
        <v>43740</v>
      </c>
      <c r="D982" s="331">
        <v>254047</v>
      </c>
    </row>
    <row r="983" spans="3:4" x14ac:dyDescent="0.2">
      <c r="C983" s="807">
        <v>43741</v>
      </c>
      <c r="D983" s="331">
        <v>244596.04</v>
      </c>
    </row>
    <row r="984" spans="3:4" x14ac:dyDescent="0.2">
      <c r="C984" s="807">
        <v>43742</v>
      </c>
      <c r="D984" s="331">
        <v>244881.04</v>
      </c>
    </row>
    <row r="985" spans="3:4" x14ac:dyDescent="0.2">
      <c r="C985" s="807">
        <v>43745</v>
      </c>
      <c r="D985" s="331">
        <v>244881</v>
      </c>
    </row>
    <row r="986" spans="3:4" x14ac:dyDescent="0.2">
      <c r="C986" s="807">
        <v>43746</v>
      </c>
      <c r="D986" s="331">
        <v>244881</v>
      </c>
    </row>
    <row r="987" spans="3:4" x14ac:dyDescent="0.2">
      <c r="C987" s="807">
        <v>43747</v>
      </c>
      <c r="D987" s="331">
        <v>244881</v>
      </c>
    </row>
    <row r="988" spans="3:4" x14ac:dyDescent="0.2">
      <c r="C988" s="807">
        <v>43748</v>
      </c>
      <c r="D988" s="331">
        <v>247845.59</v>
      </c>
    </row>
    <row r="989" spans="3:4" x14ac:dyDescent="0.2">
      <c r="C989" s="807">
        <v>43749</v>
      </c>
      <c r="D989" s="331">
        <v>247846</v>
      </c>
    </row>
    <row r="990" spans="3:4" x14ac:dyDescent="0.2">
      <c r="C990" s="807">
        <v>43752</v>
      </c>
      <c r="D990" s="331">
        <v>247846</v>
      </c>
    </row>
    <row r="991" spans="3:4" x14ac:dyDescent="0.2">
      <c r="C991" s="807">
        <v>43753</v>
      </c>
      <c r="D991" s="331">
        <v>183161.53</v>
      </c>
    </row>
    <row r="992" spans="3:4" x14ac:dyDescent="0.2">
      <c r="C992" s="807">
        <v>43754</v>
      </c>
      <c r="D992" s="331">
        <v>185786.19</v>
      </c>
    </row>
    <row r="993" spans="3:4" x14ac:dyDescent="0.2">
      <c r="C993" s="807">
        <v>43755</v>
      </c>
      <c r="D993" s="331">
        <v>160581.73000000001</v>
      </c>
    </row>
    <row r="994" spans="3:4" x14ac:dyDescent="0.2">
      <c r="C994" s="807">
        <v>43756</v>
      </c>
      <c r="D994" s="331">
        <v>160581.73000000001</v>
      </c>
    </row>
    <row r="995" spans="3:4" x14ac:dyDescent="0.2">
      <c r="C995" s="807">
        <v>43759</v>
      </c>
      <c r="D995" s="331">
        <v>160581.73000000001</v>
      </c>
    </row>
    <row r="996" spans="3:4" x14ac:dyDescent="0.2">
      <c r="C996" s="807">
        <v>43760</v>
      </c>
      <c r="D996" s="331">
        <v>160581.73000000001</v>
      </c>
    </row>
    <row r="997" spans="3:4" x14ac:dyDescent="0.2">
      <c r="C997" s="807">
        <v>43761</v>
      </c>
      <c r="D997" s="331">
        <v>171996.42</v>
      </c>
    </row>
    <row r="998" spans="3:4" x14ac:dyDescent="0.2">
      <c r="C998" s="807">
        <v>43762</v>
      </c>
      <c r="D998" s="331">
        <v>167352.24</v>
      </c>
    </row>
    <row r="999" spans="3:4" x14ac:dyDescent="0.2">
      <c r="C999" s="807">
        <v>43763</v>
      </c>
      <c r="D999" s="331">
        <v>166766.24</v>
      </c>
    </row>
    <row r="1000" spans="3:4" x14ac:dyDescent="0.2">
      <c r="C1000" s="807">
        <v>43766</v>
      </c>
      <c r="D1000" s="364">
        <v>129051.26</v>
      </c>
    </row>
    <row r="1001" spans="3:4" x14ac:dyDescent="0.2">
      <c r="C1001" s="807">
        <v>43767</v>
      </c>
      <c r="D1001" s="331">
        <v>132306.64000000001</v>
      </c>
    </row>
    <row r="1002" spans="3:4" x14ac:dyDescent="0.2">
      <c r="C1002" s="807">
        <v>43768</v>
      </c>
      <c r="D1002" s="331">
        <v>181475.08</v>
      </c>
    </row>
    <row r="1003" spans="3:4" x14ac:dyDescent="0.2">
      <c r="C1003" s="807">
        <v>43769</v>
      </c>
      <c r="D1003" s="331">
        <v>169335.94</v>
      </c>
    </row>
    <row r="1004" spans="3:4" x14ac:dyDescent="0.2">
      <c r="C1004" s="807">
        <v>43770</v>
      </c>
      <c r="D1004" s="331">
        <v>171521.13</v>
      </c>
    </row>
    <row r="1005" spans="3:4" x14ac:dyDescent="0.2">
      <c r="C1005" s="807">
        <v>43773</v>
      </c>
      <c r="D1005" s="331">
        <v>171521</v>
      </c>
    </row>
    <row r="1006" spans="3:4" x14ac:dyDescent="0.2">
      <c r="C1006" s="807">
        <v>43774</v>
      </c>
      <c r="D1006" s="331">
        <v>171521</v>
      </c>
    </row>
    <row r="1007" spans="3:4" x14ac:dyDescent="0.2">
      <c r="C1007" s="807">
        <v>43775</v>
      </c>
      <c r="D1007" s="331">
        <v>201934.13</v>
      </c>
    </row>
    <row r="1008" spans="3:4" x14ac:dyDescent="0.2">
      <c r="C1008" s="807">
        <v>43776</v>
      </c>
      <c r="D1008" s="331">
        <v>198457.3</v>
      </c>
    </row>
    <row r="1009" spans="3:4" x14ac:dyDescent="0.2">
      <c r="C1009" s="807">
        <v>43777</v>
      </c>
      <c r="D1009" s="331">
        <v>198457</v>
      </c>
    </row>
    <row r="1010" spans="3:4" x14ac:dyDescent="0.2">
      <c r="C1010" s="807">
        <v>43780</v>
      </c>
      <c r="D1010" s="331">
        <v>164046.53</v>
      </c>
    </row>
    <row r="1011" spans="3:4" x14ac:dyDescent="0.2">
      <c r="C1011" s="807">
        <v>43781</v>
      </c>
      <c r="D1011" s="331">
        <v>164047</v>
      </c>
    </row>
    <row r="1012" spans="3:4" x14ac:dyDescent="0.2">
      <c r="C1012" s="807">
        <v>43782</v>
      </c>
      <c r="D1012" s="331">
        <v>198779.19</v>
      </c>
    </row>
    <row r="1013" spans="3:4" x14ac:dyDescent="0.2">
      <c r="C1013" s="807">
        <v>43783</v>
      </c>
      <c r="D1013" s="331">
        <v>188221.13</v>
      </c>
    </row>
    <row r="1014" spans="3:4" x14ac:dyDescent="0.2">
      <c r="C1014" s="807">
        <v>43784</v>
      </c>
      <c r="D1014" s="331">
        <v>190279.89</v>
      </c>
    </row>
    <row r="1015" spans="3:4" x14ac:dyDescent="0.2">
      <c r="C1015" s="807">
        <v>43787</v>
      </c>
      <c r="D1015" s="331">
        <v>190179.89</v>
      </c>
    </row>
    <row r="1016" spans="3:4" x14ac:dyDescent="0.2">
      <c r="C1016" s="807">
        <v>43788</v>
      </c>
      <c r="D1016" s="331">
        <v>190180</v>
      </c>
    </row>
    <row r="1017" spans="3:4" x14ac:dyDescent="0.2">
      <c r="C1017" s="807">
        <v>43789</v>
      </c>
      <c r="D1017" s="331">
        <v>190180</v>
      </c>
    </row>
    <row r="1018" spans="3:4" x14ac:dyDescent="0.2">
      <c r="C1018" s="807">
        <v>43790</v>
      </c>
      <c r="D1018" s="331">
        <v>188919.3</v>
      </c>
    </row>
    <row r="1019" spans="3:4" x14ac:dyDescent="0.2">
      <c r="C1019" s="807">
        <v>43791</v>
      </c>
      <c r="D1019" s="331">
        <v>188919</v>
      </c>
    </row>
    <row r="1020" spans="3:4" x14ac:dyDescent="0.2">
      <c r="C1020" s="807">
        <v>43794</v>
      </c>
      <c r="D1020" s="331">
        <v>153349.64000000001</v>
      </c>
    </row>
    <row r="1021" spans="3:4" x14ac:dyDescent="0.2">
      <c r="C1021" s="807">
        <v>43795</v>
      </c>
      <c r="D1021" s="331">
        <v>153226.64000000001</v>
      </c>
    </row>
    <row r="1022" spans="3:4" x14ac:dyDescent="0.2">
      <c r="C1022" s="807">
        <v>43796</v>
      </c>
      <c r="D1022" s="331">
        <v>154369.64000000001</v>
      </c>
    </row>
    <row r="1023" spans="3:4" x14ac:dyDescent="0.2">
      <c r="C1023" s="807">
        <v>43797</v>
      </c>
      <c r="D1023" s="331">
        <v>154370</v>
      </c>
    </row>
    <row r="1024" spans="3:4" x14ac:dyDescent="0.2">
      <c r="C1024" s="807">
        <v>43798</v>
      </c>
      <c r="D1024" s="331">
        <v>237011.17</v>
      </c>
    </row>
    <row r="1025" spans="3:4" x14ac:dyDescent="0.2">
      <c r="C1025" s="807">
        <v>43801</v>
      </c>
      <c r="D1025" s="331">
        <v>237011</v>
      </c>
    </row>
    <row r="1026" spans="3:4" x14ac:dyDescent="0.2">
      <c r="C1026" s="807">
        <v>43802</v>
      </c>
      <c r="D1026" s="331">
        <v>237011</v>
      </c>
    </row>
    <row r="1027" spans="3:4" x14ac:dyDescent="0.2">
      <c r="C1027" s="807">
        <v>43803</v>
      </c>
      <c r="D1027" s="331">
        <v>237011</v>
      </c>
    </row>
    <row r="1028" spans="3:4" x14ac:dyDescent="0.2">
      <c r="C1028" s="807">
        <v>43804</v>
      </c>
      <c r="D1028" s="331">
        <v>229967.75</v>
      </c>
    </row>
    <row r="1029" spans="3:4" x14ac:dyDescent="0.2">
      <c r="C1029" s="807">
        <v>43805</v>
      </c>
      <c r="D1029" s="331">
        <v>229968</v>
      </c>
    </row>
    <row r="1030" spans="3:4" x14ac:dyDescent="0.2">
      <c r="C1030" s="807">
        <v>43808</v>
      </c>
      <c r="D1030" s="331">
        <v>193352.99</v>
      </c>
    </row>
    <row r="1031" spans="3:4" x14ac:dyDescent="0.2">
      <c r="C1031" s="807">
        <v>43809</v>
      </c>
      <c r="D1031" s="331">
        <v>193629.99</v>
      </c>
    </row>
    <row r="1032" spans="3:4" x14ac:dyDescent="0.2">
      <c r="C1032" s="807">
        <v>43810</v>
      </c>
      <c r="D1032" s="331">
        <v>193630</v>
      </c>
    </row>
    <row r="1033" spans="3:4" x14ac:dyDescent="0.2">
      <c r="C1033" s="807">
        <v>43811</v>
      </c>
      <c r="D1033" s="331">
        <v>193945</v>
      </c>
    </row>
    <row r="1034" spans="3:4" x14ac:dyDescent="0.2">
      <c r="C1034" s="807">
        <v>43812</v>
      </c>
      <c r="D1034" s="331">
        <v>196370.92</v>
      </c>
    </row>
    <row r="1035" spans="3:4" x14ac:dyDescent="0.2">
      <c r="C1035" s="807">
        <v>43815</v>
      </c>
      <c r="D1035" s="331">
        <v>196370.92</v>
      </c>
    </row>
    <row r="1036" spans="3:4" x14ac:dyDescent="0.2">
      <c r="C1036" s="807">
        <v>43816</v>
      </c>
      <c r="D1036" s="331">
        <v>196370.92</v>
      </c>
    </row>
    <row r="1037" spans="3:4" x14ac:dyDescent="0.2">
      <c r="C1037" s="807">
        <v>43817</v>
      </c>
      <c r="D1037" s="331">
        <v>196370.92</v>
      </c>
    </row>
    <row r="1038" spans="3:4" x14ac:dyDescent="0.2">
      <c r="C1038" s="807">
        <v>43818</v>
      </c>
      <c r="D1038" s="331">
        <v>194997.56</v>
      </c>
    </row>
    <row r="1039" spans="3:4" x14ac:dyDescent="0.2">
      <c r="C1039" s="807">
        <v>43819</v>
      </c>
      <c r="D1039" s="331">
        <v>194998</v>
      </c>
    </row>
    <row r="1040" spans="3:4" x14ac:dyDescent="0.2">
      <c r="C1040" s="807">
        <v>43822</v>
      </c>
      <c r="D1040" s="331">
        <v>158280.26999999999</v>
      </c>
    </row>
    <row r="1041" spans="3:4" x14ac:dyDescent="0.2">
      <c r="C1041" s="807">
        <v>43823</v>
      </c>
      <c r="D1041" s="331">
        <v>163840.26999999999</v>
      </c>
    </row>
    <row r="1042" spans="3:4" x14ac:dyDescent="0.2">
      <c r="C1042" s="807">
        <v>43824</v>
      </c>
      <c r="D1042" s="331">
        <v>163840</v>
      </c>
    </row>
    <row r="1043" spans="3:4" x14ac:dyDescent="0.2">
      <c r="C1043" s="807">
        <v>43825</v>
      </c>
      <c r="D1043" s="331">
        <v>213174.46</v>
      </c>
    </row>
    <row r="1044" spans="3:4" x14ac:dyDescent="0.2">
      <c r="C1044" s="807">
        <v>43826</v>
      </c>
      <c r="D1044" s="331">
        <v>212851.46</v>
      </c>
    </row>
    <row r="1045" spans="3:4" x14ac:dyDescent="0.2">
      <c r="C1045" s="807">
        <v>43829</v>
      </c>
      <c r="D1045" s="331">
        <v>212221.74</v>
      </c>
    </row>
    <row r="1046" spans="3:4" x14ac:dyDescent="0.2">
      <c r="C1046" s="807">
        <v>43830</v>
      </c>
      <c r="D1046" s="331">
        <v>189055.83</v>
      </c>
    </row>
    <row r="1047" spans="3:4" x14ac:dyDescent="0.2">
      <c r="C1047" s="807">
        <v>43831</v>
      </c>
      <c r="D1047" s="331">
        <v>189056</v>
      </c>
    </row>
    <row r="1048" spans="3:4" x14ac:dyDescent="0.2">
      <c r="C1048" s="807">
        <v>43832</v>
      </c>
      <c r="D1048" s="331">
        <v>206403.28</v>
      </c>
    </row>
    <row r="1049" spans="3:4" x14ac:dyDescent="0.2">
      <c r="C1049" s="807">
        <v>43833</v>
      </c>
      <c r="D1049" s="331">
        <v>206217.28</v>
      </c>
    </row>
    <row r="1050" spans="3:4" x14ac:dyDescent="0.2">
      <c r="C1050" s="807">
        <v>43836</v>
      </c>
      <c r="D1050" s="331">
        <v>206129.28</v>
      </c>
    </row>
    <row r="1051" spans="3:4" x14ac:dyDescent="0.2">
      <c r="C1051" s="807">
        <v>43837</v>
      </c>
      <c r="D1051" s="331">
        <v>172858.39</v>
      </c>
    </row>
    <row r="1052" spans="3:4" x14ac:dyDescent="0.2">
      <c r="C1052" s="807">
        <v>43838</v>
      </c>
      <c r="D1052" s="331">
        <v>172585</v>
      </c>
    </row>
    <row r="1053" spans="3:4" x14ac:dyDescent="0.2">
      <c r="C1053" s="807">
        <v>43839</v>
      </c>
      <c r="D1053" s="331">
        <v>184752.38</v>
      </c>
    </row>
    <row r="1054" spans="3:4" x14ac:dyDescent="0.2">
      <c r="C1054" s="807">
        <v>43840</v>
      </c>
      <c r="D1054" s="331">
        <v>199849.93</v>
      </c>
    </row>
    <row r="1055" spans="3:4" x14ac:dyDescent="0.2">
      <c r="C1055" s="807">
        <v>43843</v>
      </c>
      <c r="D1055" s="331">
        <v>199850</v>
      </c>
    </row>
    <row r="1056" spans="3:4" x14ac:dyDescent="0.2">
      <c r="C1056" s="807">
        <v>43844</v>
      </c>
      <c r="D1056" s="331">
        <v>199850</v>
      </c>
    </row>
    <row r="1057" spans="3:4" x14ac:dyDescent="0.2">
      <c r="C1057" s="807">
        <v>43845</v>
      </c>
      <c r="D1057" s="331">
        <v>199942.09</v>
      </c>
    </row>
    <row r="1058" spans="3:4" x14ac:dyDescent="0.2">
      <c r="C1058" s="807">
        <v>43846</v>
      </c>
      <c r="D1058" s="331">
        <v>197586.14</v>
      </c>
    </row>
    <row r="1059" spans="3:4" x14ac:dyDescent="0.2">
      <c r="C1059" s="807">
        <v>43847</v>
      </c>
      <c r="D1059" s="331">
        <v>197586</v>
      </c>
    </row>
    <row r="1060" spans="3:4" x14ac:dyDescent="0.2">
      <c r="C1060" s="807">
        <v>43850</v>
      </c>
      <c r="D1060" s="331">
        <v>197586</v>
      </c>
    </row>
    <row r="1061" spans="3:4" x14ac:dyDescent="0.2">
      <c r="C1061" s="807">
        <v>43851</v>
      </c>
      <c r="D1061" s="331">
        <v>160213.23000000001</v>
      </c>
    </row>
    <row r="1062" spans="3:4" x14ac:dyDescent="0.2">
      <c r="C1062" s="807">
        <v>43852</v>
      </c>
      <c r="D1062" s="331">
        <v>160213</v>
      </c>
    </row>
    <row r="1063" spans="3:4" x14ac:dyDescent="0.2">
      <c r="C1063" s="807">
        <v>43853</v>
      </c>
      <c r="D1063" s="331">
        <v>178835.97</v>
      </c>
    </row>
    <row r="1064" spans="3:4" x14ac:dyDescent="0.2">
      <c r="C1064" s="807">
        <v>43854</v>
      </c>
      <c r="D1064" s="331">
        <v>177774.06</v>
      </c>
    </row>
    <row r="1065" spans="3:4" x14ac:dyDescent="0.2">
      <c r="C1065" s="807">
        <v>43857</v>
      </c>
      <c r="D1065" s="331">
        <v>177774</v>
      </c>
    </row>
    <row r="1066" spans="3:4" x14ac:dyDescent="0.2">
      <c r="C1066" s="807">
        <v>43858</v>
      </c>
      <c r="D1066" s="331">
        <v>177774</v>
      </c>
    </row>
    <row r="1067" spans="3:4" x14ac:dyDescent="0.2">
      <c r="C1067" s="807">
        <v>43859</v>
      </c>
      <c r="D1067" s="331">
        <v>253459.84</v>
      </c>
    </row>
    <row r="1068" spans="3:4" x14ac:dyDescent="0.2">
      <c r="C1068" s="807">
        <v>43860</v>
      </c>
      <c r="D1068" s="331">
        <v>235320.22</v>
      </c>
    </row>
    <row r="1069" spans="3:4" x14ac:dyDescent="0.2">
      <c r="C1069" s="807">
        <v>43861</v>
      </c>
      <c r="D1069" s="331">
        <v>235320</v>
      </c>
    </row>
    <row r="1070" spans="3:4" x14ac:dyDescent="0.2">
      <c r="C1070" s="807">
        <v>43864</v>
      </c>
      <c r="D1070" s="331">
        <v>198483.96</v>
      </c>
    </row>
    <row r="1071" spans="3:4" x14ac:dyDescent="0.2">
      <c r="C1071" s="807">
        <v>43865</v>
      </c>
      <c r="D1071" s="331">
        <v>212819.68</v>
      </c>
    </row>
    <row r="1072" spans="3:4" x14ac:dyDescent="0.2">
      <c r="C1072" s="807">
        <v>43866</v>
      </c>
      <c r="D1072" s="331">
        <v>212820</v>
      </c>
    </row>
    <row r="1073" spans="3:4" x14ac:dyDescent="0.2">
      <c r="C1073" s="807">
        <v>43867</v>
      </c>
      <c r="D1073" s="331">
        <v>212584.24</v>
      </c>
    </row>
    <row r="1074" spans="3:4" x14ac:dyDescent="0.2">
      <c r="C1074" s="807">
        <v>43868</v>
      </c>
      <c r="D1074" s="331">
        <v>270092.23</v>
      </c>
    </row>
    <row r="1075" spans="3:4" x14ac:dyDescent="0.2">
      <c r="C1075" s="807">
        <v>43871</v>
      </c>
      <c r="D1075" s="331">
        <v>270092</v>
      </c>
    </row>
    <row r="1076" spans="3:4" x14ac:dyDescent="0.2">
      <c r="C1076" s="807">
        <v>43872</v>
      </c>
      <c r="D1076" s="331">
        <v>273133.13</v>
      </c>
    </row>
    <row r="1077" spans="3:4" x14ac:dyDescent="0.2">
      <c r="C1077" s="807">
        <v>43873</v>
      </c>
      <c r="D1077" s="331">
        <v>273133</v>
      </c>
    </row>
    <row r="1078" spans="3:4" x14ac:dyDescent="0.2">
      <c r="C1078" s="807">
        <v>43874</v>
      </c>
      <c r="D1078" s="331">
        <v>280484.09000000003</v>
      </c>
    </row>
    <row r="1079" spans="3:4" x14ac:dyDescent="0.2">
      <c r="C1079" s="807">
        <v>43875</v>
      </c>
      <c r="D1079" s="331">
        <v>279225.67</v>
      </c>
    </row>
    <row r="1080" spans="3:4" x14ac:dyDescent="0.2">
      <c r="C1080" s="807">
        <v>43878</v>
      </c>
      <c r="D1080" s="331">
        <v>279226</v>
      </c>
    </row>
    <row r="1081" spans="3:4" x14ac:dyDescent="0.2">
      <c r="C1081" s="807">
        <v>43879</v>
      </c>
      <c r="D1081" s="331">
        <v>241740.68</v>
      </c>
    </row>
    <row r="1082" spans="3:4" x14ac:dyDescent="0.2">
      <c r="C1082" s="807">
        <v>43880</v>
      </c>
      <c r="D1082" s="331">
        <v>268478</v>
      </c>
    </row>
    <row r="1083" spans="3:4" x14ac:dyDescent="0.2">
      <c r="C1083" s="807">
        <v>43881</v>
      </c>
      <c r="D1083" s="331">
        <v>258524.93</v>
      </c>
    </row>
    <row r="1084" spans="3:4" x14ac:dyDescent="0.2">
      <c r="C1084" s="807">
        <v>43882</v>
      </c>
      <c r="D1084" s="331">
        <v>277316.53000000003</v>
      </c>
    </row>
    <row r="1085" spans="3:4" x14ac:dyDescent="0.2">
      <c r="C1085" s="807">
        <v>43885</v>
      </c>
      <c r="D1085" s="331">
        <v>277317</v>
      </c>
    </row>
    <row r="1086" spans="3:4" x14ac:dyDescent="0.2">
      <c r="C1086" s="807">
        <v>43886</v>
      </c>
      <c r="D1086" s="331">
        <v>279881.78999999998</v>
      </c>
    </row>
    <row r="1087" spans="3:4" x14ac:dyDescent="0.2">
      <c r="C1087" s="807">
        <v>43887</v>
      </c>
      <c r="D1087" s="331">
        <v>279882</v>
      </c>
    </row>
    <row r="1088" spans="3:4" x14ac:dyDescent="0.2">
      <c r="C1088" s="807">
        <v>43888</v>
      </c>
      <c r="D1088" s="331">
        <v>270773.33</v>
      </c>
    </row>
    <row r="1089" spans="3:4" x14ac:dyDescent="0.2">
      <c r="C1089" s="807">
        <v>43889</v>
      </c>
      <c r="D1089" s="331">
        <v>306133.57</v>
      </c>
    </row>
    <row r="1090" spans="3:4" x14ac:dyDescent="0.2">
      <c r="C1090" s="807">
        <v>43892</v>
      </c>
      <c r="D1090" s="331">
        <v>267343.68</v>
      </c>
    </row>
    <row r="1091" spans="3:4" x14ac:dyDescent="0.2">
      <c r="C1091" s="807">
        <v>43893</v>
      </c>
      <c r="D1091" s="331">
        <v>267157.68</v>
      </c>
    </row>
    <row r="1092" spans="3:4" x14ac:dyDescent="0.2">
      <c r="C1092" s="807">
        <v>43894</v>
      </c>
      <c r="D1092" s="331">
        <f>D1091</f>
        <v>267157.68</v>
      </c>
    </row>
    <row r="1093" spans="3:4" x14ac:dyDescent="0.2">
      <c r="C1093" s="807">
        <v>43895</v>
      </c>
      <c r="D1093" s="331">
        <v>264690.95</v>
      </c>
    </row>
    <row r="1094" spans="3:4" x14ac:dyDescent="0.2">
      <c r="C1094" s="807">
        <v>43896</v>
      </c>
      <c r="D1094" s="331">
        <v>264495.03999999998</v>
      </c>
    </row>
    <row r="1095" spans="3:4" x14ac:dyDescent="0.2">
      <c r="C1095" s="807">
        <v>43899</v>
      </c>
      <c r="D1095" s="331">
        <f>D1094</f>
        <v>264495.03999999998</v>
      </c>
    </row>
    <row r="1096" spans="3:4" x14ac:dyDescent="0.2">
      <c r="C1096" s="807">
        <v>43900</v>
      </c>
      <c r="D1096" s="331">
        <v>267283.63</v>
      </c>
    </row>
    <row r="1097" spans="3:4" x14ac:dyDescent="0.2">
      <c r="C1097" s="807">
        <v>43901</v>
      </c>
      <c r="D1097" s="331">
        <f>D1096</f>
        <v>267283.63</v>
      </c>
    </row>
    <row r="1098" spans="3:4" x14ac:dyDescent="0.2">
      <c r="C1098" s="807">
        <v>43902</v>
      </c>
      <c r="D1098" s="331">
        <v>259537.69</v>
      </c>
    </row>
    <row r="1099" spans="3:4" x14ac:dyDescent="0.2">
      <c r="C1099" s="807">
        <v>43903</v>
      </c>
      <c r="D1099" s="331">
        <v>259645.65</v>
      </c>
    </row>
    <row r="1100" spans="3:4" x14ac:dyDescent="0.2">
      <c r="C1100" s="807">
        <v>43906</v>
      </c>
      <c r="D1100" s="331">
        <v>279221.03000000003</v>
      </c>
    </row>
    <row r="1101" spans="3:4" x14ac:dyDescent="0.2">
      <c r="C1101" s="807">
        <v>43907</v>
      </c>
      <c r="D1101" s="331">
        <v>232150.36</v>
      </c>
    </row>
    <row r="1102" spans="3:4" x14ac:dyDescent="0.2">
      <c r="C1102" s="807">
        <v>43908</v>
      </c>
      <c r="D1102" s="331">
        <v>274274.51</v>
      </c>
    </row>
    <row r="1103" spans="3:4" x14ac:dyDescent="0.2">
      <c r="C1103" s="807">
        <v>43909</v>
      </c>
      <c r="D1103" s="331">
        <v>276629.48</v>
      </c>
    </row>
    <row r="1104" spans="3:4" x14ac:dyDescent="0.2">
      <c r="C1104" s="807">
        <v>43910</v>
      </c>
      <c r="D1104" s="331">
        <f>D1103</f>
        <v>276629.48</v>
      </c>
    </row>
    <row r="1105" spans="3:4" x14ac:dyDescent="0.2">
      <c r="C1105" s="807">
        <v>43913</v>
      </c>
      <c r="D1105" s="331">
        <v>292626.55</v>
      </c>
    </row>
    <row r="1106" spans="3:4" x14ac:dyDescent="0.2">
      <c r="C1106" s="807">
        <v>43914</v>
      </c>
      <c r="D1106" s="331">
        <f>D1105</f>
        <v>292626.55</v>
      </c>
    </row>
    <row r="1107" spans="3:4" x14ac:dyDescent="0.2">
      <c r="C1107" s="807">
        <v>43915</v>
      </c>
      <c r="D1107" s="331">
        <f>D1106</f>
        <v>292626.55</v>
      </c>
    </row>
    <row r="1108" spans="3:4" x14ac:dyDescent="0.2">
      <c r="C1108" s="807">
        <v>43916</v>
      </c>
      <c r="D1108" s="331">
        <f>D1107</f>
        <v>292626.55</v>
      </c>
    </row>
    <row r="1109" spans="3:4" x14ac:dyDescent="0.2">
      <c r="C1109" s="807">
        <v>43917</v>
      </c>
      <c r="D1109" s="331">
        <v>292582.55</v>
      </c>
    </row>
    <row r="1110" spans="3:4" x14ac:dyDescent="0.2">
      <c r="C1110" s="807">
        <v>43920</v>
      </c>
      <c r="D1110" s="331">
        <f>D1109</f>
        <v>292582.55</v>
      </c>
    </row>
    <row r="1111" spans="3:4" x14ac:dyDescent="0.2">
      <c r="C1111" s="807">
        <v>43921</v>
      </c>
      <c r="D1111" s="331">
        <f>D1110</f>
        <v>292582.55</v>
      </c>
    </row>
    <row r="1112" spans="3:4" x14ac:dyDescent="0.2">
      <c r="C1112" s="807">
        <v>43922</v>
      </c>
      <c r="D1112" s="331">
        <v>256343.91</v>
      </c>
    </row>
    <row r="1113" spans="3:4" x14ac:dyDescent="0.2">
      <c r="C1113" s="807">
        <v>43923</v>
      </c>
      <c r="D1113" s="331">
        <v>260066.55</v>
      </c>
    </row>
    <row r="1114" spans="3:4" x14ac:dyDescent="0.2">
      <c r="C1114" s="807">
        <v>43924</v>
      </c>
      <c r="D1114" s="331">
        <v>259418.64</v>
      </c>
    </row>
    <row r="1115" spans="3:4" x14ac:dyDescent="0.2">
      <c r="C1115" s="807">
        <v>43927</v>
      </c>
      <c r="D1115" s="331">
        <f>D1114</f>
        <v>259418.64</v>
      </c>
    </row>
    <row r="1116" spans="3:4" x14ac:dyDescent="0.2">
      <c r="C1116" s="807">
        <v>43928</v>
      </c>
      <c r="D1116" s="331">
        <f>D1115</f>
        <v>259418.64</v>
      </c>
    </row>
    <row r="1117" spans="3:4" x14ac:dyDescent="0.2">
      <c r="C1117" s="807">
        <v>43929</v>
      </c>
      <c r="D1117" s="331">
        <f>D1116</f>
        <v>259418.64</v>
      </c>
    </row>
    <row r="1118" spans="3:4" x14ac:dyDescent="0.2">
      <c r="C1118" s="807">
        <v>43930</v>
      </c>
      <c r="D1118" s="331">
        <v>256056.32000000001</v>
      </c>
    </row>
    <row r="1119" spans="3:4" x14ac:dyDescent="0.2">
      <c r="C1119" s="807">
        <v>43931</v>
      </c>
      <c r="D1119" s="331">
        <f>D1118</f>
        <v>256056.32000000001</v>
      </c>
    </row>
    <row r="1120" spans="3:4" x14ac:dyDescent="0.2">
      <c r="C1120" s="807">
        <v>43934</v>
      </c>
      <c r="D1120" s="331">
        <f>D1119</f>
        <v>256056.32000000001</v>
      </c>
    </row>
    <row r="1121" spans="3:6" x14ac:dyDescent="0.2">
      <c r="C1121" s="807">
        <v>43935</v>
      </c>
      <c r="D1121" s="331">
        <f>D1120</f>
        <v>256056.32000000001</v>
      </c>
    </row>
    <row r="1122" spans="3:6" x14ac:dyDescent="0.2">
      <c r="C1122" s="807">
        <v>43936</v>
      </c>
      <c r="D1122" s="331">
        <v>222877.12</v>
      </c>
    </row>
    <row r="1123" spans="3:6" x14ac:dyDescent="0.2">
      <c r="C1123" s="807">
        <v>43937</v>
      </c>
      <c r="D1123" s="331">
        <f>D1122</f>
        <v>222877.12</v>
      </c>
    </row>
    <row r="1124" spans="3:6" x14ac:dyDescent="0.2">
      <c r="C1124" s="807">
        <v>43938</v>
      </c>
      <c r="D1124" s="331">
        <v>222415.21</v>
      </c>
    </row>
    <row r="1125" spans="3:6" x14ac:dyDescent="0.2">
      <c r="C1125" s="807">
        <v>43941</v>
      </c>
      <c r="D1125" s="331">
        <f>D1124</f>
        <v>222415.21</v>
      </c>
    </row>
    <row r="1126" spans="3:6" x14ac:dyDescent="0.2">
      <c r="C1126" s="807">
        <v>43942</v>
      </c>
      <c r="D1126" s="331">
        <f>D1125</f>
        <v>222415.21</v>
      </c>
    </row>
    <row r="1127" spans="3:6" x14ac:dyDescent="0.2">
      <c r="C1127" s="807">
        <v>43943</v>
      </c>
      <c r="D1127" s="331">
        <f>D1126</f>
        <v>222415.21</v>
      </c>
    </row>
    <row r="1128" spans="3:6" x14ac:dyDescent="0.2">
      <c r="C1128" s="807">
        <v>43944</v>
      </c>
      <c r="D1128" s="331">
        <v>185658.71</v>
      </c>
    </row>
    <row r="1129" spans="3:6" x14ac:dyDescent="0.2">
      <c r="C1129" s="807">
        <v>43945</v>
      </c>
      <c r="D1129" s="331">
        <f>D1128</f>
        <v>185658.71</v>
      </c>
    </row>
    <row r="1130" spans="3:6" x14ac:dyDescent="0.2">
      <c r="C1130" s="807">
        <v>43948</v>
      </c>
      <c r="D1130" s="331">
        <v>185614.71</v>
      </c>
    </row>
    <row r="1131" spans="3:6" x14ac:dyDescent="0.2">
      <c r="C1131" s="807">
        <v>43949</v>
      </c>
      <c r="D1131" s="364">
        <v>152434.01999999999</v>
      </c>
    </row>
    <row r="1132" spans="3:6" x14ac:dyDescent="0.2">
      <c r="C1132" s="807">
        <v>43950</v>
      </c>
      <c r="D1132" s="331">
        <f>D1131</f>
        <v>152434.01999999999</v>
      </c>
    </row>
    <row r="1133" spans="3:6" x14ac:dyDescent="0.2">
      <c r="C1133" s="807">
        <v>43951</v>
      </c>
      <c r="D1133" s="331">
        <v>173230.55</v>
      </c>
    </row>
    <row r="1134" spans="3:6" ht="15" x14ac:dyDescent="0.25">
      <c r="C1134" s="808">
        <v>43952</v>
      </c>
      <c r="D1134" s="331">
        <f>E1134+F1134</f>
        <v>173492.71000000002</v>
      </c>
      <c r="E1134" s="478">
        <v>172768.64000000001</v>
      </c>
      <c r="F1134" s="479">
        <v>724.07</v>
      </c>
    </row>
    <row r="1135" spans="3:6" ht="15" x14ac:dyDescent="0.25">
      <c r="C1135" s="808">
        <v>43955</v>
      </c>
      <c r="D1135" s="331">
        <f t="shared" ref="D1135:D1198" si="2">E1135+F1135</f>
        <v>173306.64</v>
      </c>
      <c r="E1135" s="478">
        <v>172582.64</v>
      </c>
      <c r="F1135" s="479">
        <v>724</v>
      </c>
    </row>
    <row r="1136" spans="3:6" ht="15" x14ac:dyDescent="0.25">
      <c r="C1136" s="808">
        <v>43956</v>
      </c>
      <c r="D1136" s="331">
        <f t="shared" si="2"/>
        <v>173307</v>
      </c>
      <c r="E1136" s="478">
        <v>172583</v>
      </c>
      <c r="F1136" s="479">
        <f>F1135</f>
        <v>724</v>
      </c>
    </row>
    <row r="1137" spans="3:6" ht="15" x14ac:dyDescent="0.25">
      <c r="C1137" s="808">
        <v>43957</v>
      </c>
      <c r="D1137" s="331">
        <f t="shared" si="2"/>
        <v>173307</v>
      </c>
      <c r="E1137" s="478">
        <v>172583</v>
      </c>
      <c r="F1137" s="479">
        <f t="shared" ref="F1137:F1179" si="3">F1136</f>
        <v>724</v>
      </c>
    </row>
    <row r="1138" spans="3:6" ht="15" x14ac:dyDescent="0.25">
      <c r="C1138" s="808">
        <v>43958</v>
      </c>
      <c r="D1138" s="331">
        <f t="shared" si="2"/>
        <v>173307</v>
      </c>
      <c r="E1138" s="478">
        <v>172583</v>
      </c>
      <c r="F1138" s="479">
        <f t="shared" si="3"/>
        <v>724</v>
      </c>
    </row>
    <row r="1139" spans="3:6" ht="15" x14ac:dyDescent="0.25">
      <c r="C1139" s="808">
        <v>43959</v>
      </c>
      <c r="D1139" s="331">
        <f t="shared" si="2"/>
        <v>385709.68000000005</v>
      </c>
      <c r="E1139" s="478">
        <v>187582.64</v>
      </c>
      <c r="F1139" s="479">
        <v>198127.04</v>
      </c>
    </row>
    <row r="1140" spans="3:6" ht="15" x14ac:dyDescent="0.25">
      <c r="C1140" s="808">
        <v>43962</v>
      </c>
      <c r="D1140" s="331">
        <f t="shared" si="2"/>
        <v>385710.04000000004</v>
      </c>
      <c r="E1140" s="478">
        <v>187583</v>
      </c>
      <c r="F1140" s="479">
        <f t="shared" si="3"/>
        <v>198127.04</v>
      </c>
    </row>
    <row r="1141" spans="3:6" ht="15" x14ac:dyDescent="0.25">
      <c r="C1141" s="808">
        <v>43963</v>
      </c>
      <c r="D1141" s="331">
        <f t="shared" si="2"/>
        <v>385904.98</v>
      </c>
      <c r="E1141" s="478">
        <v>187777.94</v>
      </c>
      <c r="F1141" s="479">
        <f t="shared" si="3"/>
        <v>198127.04</v>
      </c>
    </row>
    <row r="1142" spans="3:6" ht="15" x14ac:dyDescent="0.25">
      <c r="C1142" s="808">
        <v>43964</v>
      </c>
      <c r="D1142" s="331">
        <f t="shared" si="2"/>
        <v>362979.35</v>
      </c>
      <c r="E1142" s="478">
        <v>187778</v>
      </c>
      <c r="F1142" s="479">
        <v>175201.35</v>
      </c>
    </row>
    <row r="1143" spans="3:6" ht="15" x14ac:dyDescent="0.25">
      <c r="C1143" s="808">
        <v>43965</v>
      </c>
      <c r="D1143" s="331">
        <f t="shared" si="2"/>
        <v>362979.35</v>
      </c>
      <c r="E1143" s="478">
        <v>187778</v>
      </c>
      <c r="F1143" s="479">
        <f t="shared" si="3"/>
        <v>175201.35</v>
      </c>
    </row>
    <row r="1144" spans="3:6" ht="15" x14ac:dyDescent="0.25">
      <c r="C1144" s="808">
        <v>43966</v>
      </c>
      <c r="D1144" s="331">
        <f t="shared" si="2"/>
        <v>362624.73</v>
      </c>
      <c r="E1144" s="478">
        <v>187400</v>
      </c>
      <c r="F1144" s="479">
        <v>175224.73</v>
      </c>
    </row>
    <row r="1145" spans="3:6" ht="15" x14ac:dyDescent="0.25">
      <c r="C1145" s="808">
        <v>43969</v>
      </c>
      <c r="D1145" s="331">
        <f t="shared" si="2"/>
        <v>362070.03</v>
      </c>
      <c r="E1145" s="478">
        <v>187400</v>
      </c>
      <c r="F1145" s="479">
        <v>174670.03</v>
      </c>
    </row>
    <row r="1146" spans="3:6" ht="15" x14ac:dyDescent="0.25">
      <c r="C1146" s="808">
        <v>43970</v>
      </c>
      <c r="D1146" s="331">
        <f t="shared" si="2"/>
        <v>352214.86</v>
      </c>
      <c r="E1146" s="478">
        <v>187400</v>
      </c>
      <c r="F1146" s="479">
        <v>164814.85999999999</v>
      </c>
    </row>
    <row r="1147" spans="3:6" ht="15" x14ac:dyDescent="0.25">
      <c r="C1147" s="808">
        <v>43971</v>
      </c>
      <c r="D1147" s="331">
        <f t="shared" si="2"/>
        <v>352214.86</v>
      </c>
      <c r="E1147" s="478">
        <v>187400</v>
      </c>
      <c r="F1147" s="479">
        <f t="shared" si="3"/>
        <v>164814.85999999999</v>
      </c>
    </row>
    <row r="1148" spans="3:6" ht="15" x14ac:dyDescent="0.25">
      <c r="C1148" s="808">
        <v>43972</v>
      </c>
      <c r="D1148" s="331">
        <f t="shared" si="2"/>
        <v>337570.28</v>
      </c>
      <c r="E1148" s="478">
        <v>178152.54</v>
      </c>
      <c r="F1148" s="479">
        <v>159417.74</v>
      </c>
    </row>
    <row r="1149" spans="3:6" ht="15" x14ac:dyDescent="0.25">
      <c r="C1149" s="808">
        <v>43973</v>
      </c>
      <c r="D1149" s="331">
        <f t="shared" si="2"/>
        <v>337570.28</v>
      </c>
      <c r="E1149" s="478">
        <v>178152.54</v>
      </c>
      <c r="F1149" s="479">
        <f t="shared" si="3"/>
        <v>159417.74</v>
      </c>
    </row>
    <row r="1150" spans="3:6" x14ac:dyDescent="0.2">
      <c r="C1150" s="807">
        <v>43976</v>
      </c>
      <c r="D1150" s="331">
        <f t="shared" si="2"/>
        <v>337570.28</v>
      </c>
      <c r="E1150" s="478">
        <v>178152.54</v>
      </c>
      <c r="F1150" s="479">
        <f t="shared" si="3"/>
        <v>159417.74</v>
      </c>
    </row>
    <row r="1151" spans="3:6" x14ac:dyDescent="0.2">
      <c r="C1151" s="807">
        <v>43977</v>
      </c>
      <c r="D1151" s="331">
        <f t="shared" si="2"/>
        <v>337570.28</v>
      </c>
      <c r="E1151" s="478">
        <v>178152.54</v>
      </c>
      <c r="F1151" s="479">
        <f t="shared" si="3"/>
        <v>159417.74</v>
      </c>
    </row>
    <row r="1152" spans="3:6" x14ac:dyDescent="0.2">
      <c r="C1152" s="807">
        <v>43978</v>
      </c>
      <c r="D1152" s="331">
        <f t="shared" si="2"/>
        <v>314828.33999999997</v>
      </c>
      <c r="E1152" s="478">
        <v>178108.54</v>
      </c>
      <c r="F1152" s="479">
        <v>136719.79999999999</v>
      </c>
    </row>
    <row r="1153" spans="3:6" x14ac:dyDescent="0.2">
      <c r="C1153" s="807">
        <v>43979</v>
      </c>
      <c r="D1153" s="331">
        <f t="shared" si="2"/>
        <v>314642.31</v>
      </c>
      <c r="E1153" s="478">
        <v>177922.51</v>
      </c>
      <c r="F1153" s="479">
        <f t="shared" si="3"/>
        <v>136719.79999999999</v>
      </c>
    </row>
    <row r="1154" spans="3:6" x14ac:dyDescent="0.2">
      <c r="C1154" s="807">
        <v>43980</v>
      </c>
      <c r="D1154" s="331">
        <f t="shared" si="2"/>
        <v>314180.40000000002</v>
      </c>
      <c r="E1154" s="478">
        <v>177460.6</v>
      </c>
      <c r="F1154" s="479">
        <f t="shared" si="3"/>
        <v>136719.79999999999</v>
      </c>
    </row>
    <row r="1155" spans="3:6" x14ac:dyDescent="0.2">
      <c r="C1155" s="807">
        <v>43983</v>
      </c>
      <c r="D1155" s="331">
        <f t="shared" si="2"/>
        <v>336211.19</v>
      </c>
      <c r="E1155" s="478">
        <v>201698.93</v>
      </c>
      <c r="F1155" s="479">
        <v>134512.26</v>
      </c>
    </row>
    <row r="1156" spans="3:6" x14ac:dyDescent="0.2">
      <c r="C1156" s="807">
        <v>43984</v>
      </c>
      <c r="D1156" s="331">
        <f t="shared" si="2"/>
        <v>327639.93</v>
      </c>
      <c r="E1156" s="478">
        <v>201512.93</v>
      </c>
      <c r="F1156" s="479">
        <v>126127</v>
      </c>
    </row>
    <row r="1157" spans="3:6" x14ac:dyDescent="0.2">
      <c r="C1157" s="807">
        <v>43985</v>
      </c>
      <c r="D1157" s="331">
        <f t="shared" si="2"/>
        <v>327640</v>
      </c>
      <c r="E1157" s="478">
        <v>201513</v>
      </c>
      <c r="F1157" s="479">
        <f t="shared" si="3"/>
        <v>126127</v>
      </c>
    </row>
    <row r="1158" spans="3:6" x14ac:dyDescent="0.2">
      <c r="C1158" s="807">
        <v>43986</v>
      </c>
      <c r="D1158" s="331">
        <f t="shared" si="2"/>
        <v>332166.29000000004</v>
      </c>
      <c r="E1158" s="478">
        <v>206039.29</v>
      </c>
      <c r="F1158" s="479">
        <f t="shared" si="3"/>
        <v>126127</v>
      </c>
    </row>
    <row r="1159" spans="3:6" x14ac:dyDescent="0.2">
      <c r="C1159" s="807">
        <v>43987</v>
      </c>
      <c r="D1159" s="331">
        <f t="shared" si="2"/>
        <v>332166.29000000004</v>
      </c>
      <c r="E1159" s="478">
        <f>E1158</f>
        <v>206039.29</v>
      </c>
      <c r="F1159" s="479">
        <f t="shared" si="3"/>
        <v>126127</v>
      </c>
    </row>
    <row r="1160" spans="3:6" x14ac:dyDescent="0.2">
      <c r="C1160" s="807">
        <v>43990</v>
      </c>
      <c r="D1160" s="331">
        <f t="shared" si="2"/>
        <v>378580.41000000003</v>
      </c>
      <c r="E1160" s="478">
        <v>252453.41</v>
      </c>
      <c r="F1160" s="479">
        <f t="shared" si="3"/>
        <v>126127</v>
      </c>
    </row>
    <row r="1161" spans="3:6" x14ac:dyDescent="0.2">
      <c r="C1161" s="807">
        <v>43991</v>
      </c>
      <c r="D1161" s="331">
        <f t="shared" si="2"/>
        <v>378580.41000000003</v>
      </c>
      <c r="E1161" s="478">
        <f t="shared" ref="E1161:E1175" si="4">E1160</f>
        <v>252453.41</v>
      </c>
      <c r="F1161" s="479">
        <f t="shared" si="3"/>
        <v>126127</v>
      </c>
    </row>
    <row r="1162" spans="3:6" x14ac:dyDescent="0.2">
      <c r="C1162" s="807">
        <v>43992</v>
      </c>
      <c r="D1162" s="331">
        <f t="shared" si="2"/>
        <v>355599.42</v>
      </c>
      <c r="E1162" s="478">
        <f t="shared" si="4"/>
        <v>252453.41</v>
      </c>
      <c r="F1162" s="479">
        <v>103146.01</v>
      </c>
    </row>
    <row r="1163" spans="3:6" x14ac:dyDescent="0.2">
      <c r="C1163" s="807">
        <v>43993</v>
      </c>
      <c r="D1163" s="331">
        <f t="shared" si="2"/>
        <v>348512.49</v>
      </c>
      <c r="E1163" s="478">
        <v>255461.07</v>
      </c>
      <c r="F1163" s="479">
        <v>93051.42</v>
      </c>
    </row>
    <row r="1164" spans="3:6" x14ac:dyDescent="0.2">
      <c r="C1164" s="807">
        <v>43994</v>
      </c>
      <c r="D1164" s="331">
        <f t="shared" si="2"/>
        <v>351663.19</v>
      </c>
      <c r="E1164" s="478">
        <v>258611.77</v>
      </c>
      <c r="F1164" s="479">
        <f t="shared" si="3"/>
        <v>93051.42</v>
      </c>
    </row>
    <row r="1165" spans="3:6" x14ac:dyDescent="0.2">
      <c r="C1165" s="807">
        <v>43997</v>
      </c>
      <c r="D1165" s="331">
        <f t="shared" si="2"/>
        <v>351097.70999999996</v>
      </c>
      <c r="E1165" s="478">
        <f t="shared" si="4"/>
        <v>258611.77</v>
      </c>
      <c r="F1165" s="479">
        <v>92485.94</v>
      </c>
    </row>
    <row r="1166" spans="3:6" x14ac:dyDescent="0.2">
      <c r="C1166" s="807">
        <v>43998</v>
      </c>
      <c r="D1166" s="331">
        <f t="shared" si="2"/>
        <v>351097.70999999996</v>
      </c>
      <c r="E1166" s="478">
        <f t="shared" si="4"/>
        <v>258611.77</v>
      </c>
      <c r="F1166" s="479">
        <f t="shared" si="3"/>
        <v>92485.94</v>
      </c>
    </row>
    <row r="1167" spans="3:6" x14ac:dyDescent="0.2">
      <c r="C1167" s="807">
        <v>43999</v>
      </c>
      <c r="D1167" s="331">
        <f t="shared" si="2"/>
        <v>342735.58</v>
      </c>
      <c r="E1167" s="478">
        <v>250249.64</v>
      </c>
      <c r="F1167" s="479">
        <f t="shared" si="3"/>
        <v>92485.94</v>
      </c>
    </row>
    <row r="1168" spans="3:6" x14ac:dyDescent="0.2">
      <c r="C1168" s="807">
        <v>44000</v>
      </c>
      <c r="D1168" s="331">
        <f t="shared" si="2"/>
        <v>344495.52</v>
      </c>
      <c r="E1168" s="478">
        <v>252009.58</v>
      </c>
      <c r="F1168" s="479">
        <f t="shared" si="3"/>
        <v>92485.94</v>
      </c>
    </row>
    <row r="1169" spans="3:6" x14ac:dyDescent="0.2">
      <c r="C1169" s="807">
        <v>44001</v>
      </c>
      <c r="D1169" s="331">
        <f t="shared" si="2"/>
        <v>344495.52</v>
      </c>
      <c r="E1169" s="478">
        <f t="shared" si="4"/>
        <v>252009.58</v>
      </c>
      <c r="F1169" s="479">
        <f t="shared" si="3"/>
        <v>92485.94</v>
      </c>
    </row>
    <row r="1170" spans="3:6" x14ac:dyDescent="0.2">
      <c r="C1170" s="807">
        <v>44004</v>
      </c>
      <c r="D1170" s="331">
        <f t="shared" si="2"/>
        <v>344495.52</v>
      </c>
      <c r="E1170" s="478">
        <f t="shared" si="4"/>
        <v>252009.58</v>
      </c>
      <c r="F1170" s="479">
        <f t="shared" si="3"/>
        <v>92485.94</v>
      </c>
    </row>
    <row r="1171" spans="3:6" x14ac:dyDescent="0.2">
      <c r="C1171" s="807">
        <v>44005</v>
      </c>
      <c r="D1171" s="331">
        <f t="shared" si="2"/>
        <v>334324.15000000002</v>
      </c>
      <c r="E1171" s="478">
        <v>241838.21</v>
      </c>
      <c r="F1171" s="479">
        <f t="shared" si="3"/>
        <v>92485.94</v>
      </c>
    </row>
    <row r="1172" spans="3:6" x14ac:dyDescent="0.2">
      <c r="C1172" s="807">
        <v>44006</v>
      </c>
      <c r="D1172" s="331">
        <f t="shared" si="2"/>
        <v>342928.85</v>
      </c>
      <c r="E1172" s="478">
        <v>275398.59999999998</v>
      </c>
      <c r="F1172" s="479">
        <v>67530.25</v>
      </c>
    </row>
    <row r="1173" spans="3:6" x14ac:dyDescent="0.2">
      <c r="C1173" s="807">
        <v>44007</v>
      </c>
      <c r="D1173" s="331">
        <f t="shared" si="2"/>
        <v>325375.87</v>
      </c>
      <c r="E1173" s="478">
        <v>268709.96999999997</v>
      </c>
      <c r="F1173" s="479">
        <v>56665.9</v>
      </c>
    </row>
    <row r="1174" spans="3:6" x14ac:dyDescent="0.2">
      <c r="C1174" s="807">
        <v>44008</v>
      </c>
      <c r="D1174" s="331">
        <f t="shared" si="2"/>
        <v>324225.81</v>
      </c>
      <c r="E1174" s="478">
        <v>268257.68</v>
      </c>
      <c r="F1174" s="479">
        <v>55968.13</v>
      </c>
    </row>
    <row r="1175" spans="3:6" x14ac:dyDescent="0.2">
      <c r="C1175" s="807">
        <v>44011</v>
      </c>
      <c r="D1175" s="331">
        <f t="shared" si="2"/>
        <v>324225.81</v>
      </c>
      <c r="E1175" s="478">
        <f t="shared" si="4"/>
        <v>268257.68</v>
      </c>
      <c r="F1175" s="479">
        <f t="shared" si="3"/>
        <v>55968.13</v>
      </c>
    </row>
    <row r="1176" spans="3:6" x14ac:dyDescent="0.2">
      <c r="C1176" s="807">
        <v>44012</v>
      </c>
      <c r="D1176" s="331">
        <f t="shared" si="2"/>
        <v>332737.41000000003</v>
      </c>
      <c r="E1176" s="478">
        <v>276769.28000000003</v>
      </c>
      <c r="F1176" s="479">
        <f t="shared" si="3"/>
        <v>55968.13</v>
      </c>
    </row>
    <row r="1177" spans="3:6" x14ac:dyDescent="0.2">
      <c r="C1177" s="807">
        <v>44013</v>
      </c>
      <c r="D1177" s="331">
        <f t="shared" si="2"/>
        <v>348287.12</v>
      </c>
      <c r="E1177" s="478">
        <v>292318.99</v>
      </c>
      <c r="F1177" s="479">
        <f t="shared" si="3"/>
        <v>55968.13</v>
      </c>
    </row>
    <row r="1178" spans="3:6" x14ac:dyDescent="0.2">
      <c r="C1178" s="807">
        <v>44014</v>
      </c>
      <c r="D1178" s="331">
        <f t="shared" si="2"/>
        <v>351754.67</v>
      </c>
      <c r="E1178" s="478">
        <v>295786.53999999998</v>
      </c>
      <c r="F1178" s="479">
        <f t="shared" si="3"/>
        <v>55968.13</v>
      </c>
    </row>
    <row r="1179" spans="3:6" x14ac:dyDescent="0.2">
      <c r="C1179" s="807">
        <v>44015</v>
      </c>
      <c r="D1179" s="331">
        <f t="shared" si="2"/>
        <v>352041.67</v>
      </c>
      <c r="E1179" s="478">
        <v>296073.53999999998</v>
      </c>
      <c r="F1179" s="479">
        <f t="shared" si="3"/>
        <v>55968.13</v>
      </c>
    </row>
    <row r="1180" spans="3:6" x14ac:dyDescent="0.2">
      <c r="C1180" s="807">
        <v>44018</v>
      </c>
      <c r="D1180" s="331">
        <f t="shared" si="2"/>
        <v>352042</v>
      </c>
      <c r="E1180" s="478">
        <v>296074</v>
      </c>
      <c r="F1180" s="479">
        <v>55968</v>
      </c>
    </row>
    <row r="1181" spans="3:6" x14ac:dyDescent="0.2">
      <c r="C1181" s="807">
        <v>44019</v>
      </c>
      <c r="D1181" s="331">
        <f t="shared" si="2"/>
        <v>352042</v>
      </c>
      <c r="E1181" s="478">
        <v>296074</v>
      </c>
      <c r="F1181" s="479">
        <v>55968</v>
      </c>
    </row>
    <row r="1182" spans="3:6" x14ac:dyDescent="0.2">
      <c r="C1182" s="807">
        <v>44020</v>
      </c>
      <c r="D1182" s="331">
        <f t="shared" si="2"/>
        <v>326415.09999999998</v>
      </c>
      <c r="E1182" s="478">
        <v>296074</v>
      </c>
      <c r="F1182" s="479">
        <v>30341.1</v>
      </c>
    </row>
    <row r="1183" spans="3:6" x14ac:dyDescent="0.2">
      <c r="C1183" s="807">
        <v>44021</v>
      </c>
      <c r="D1183" s="331">
        <f t="shared" si="2"/>
        <v>312231.88999999996</v>
      </c>
      <c r="E1183" s="478">
        <v>293240.15999999997</v>
      </c>
      <c r="F1183" s="479">
        <v>18991.73</v>
      </c>
    </row>
    <row r="1184" spans="3:6" x14ac:dyDescent="0.2">
      <c r="C1184" s="807">
        <v>44022</v>
      </c>
      <c r="D1184" s="331">
        <f t="shared" si="2"/>
        <v>311779.87</v>
      </c>
      <c r="E1184" s="478">
        <v>292787.87</v>
      </c>
      <c r="F1184" s="479">
        <v>18992</v>
      </c>
    </row>
    <row r="1185" spans="3:6" x14ac:dyDescent="0.2">
      <c r="C1185" s="807">
        <v>44025</v>
      </c>
      <c r="D1185" s="331">
        <f t="shared" si="2"/>
        <v>311474.96999999997</v>
      </c>
      <c r="E1185" s="478">
        <v>293190.87</v>
      </c>
      <c r="F1185" s="479">
        <v>18284.099999999999</v>
      </c>
    </row>
    <row r="1186" spans="3:6" x14ac:dyDescent="0.2">
      <c r="C1186" s="807">
        <v>44026</v>
      </c>
      <c r="D1186" s="331">
        <f t="shared" si="2"/>
        <v>315477.69</v>
      </c>
      <c r="E1186" s="478">
        <v>297193.59000000003</v>
      </c>
      <c r="F1186" s="479">
        <v>18284.099999999999</v>
      </c>
    </row>
    <row r="1187" spans="3:6" x14ac:dyDescent="0.2">
      <c r="C1187" s="807">
        <v>44027</v>
      </c>
      <c r="D1187" s="331">
        <f t="shared" si="2"/>
        <v>315594.98</v>
      </c>
      <c r="E1187" s="478">
        <v>297310.88</v>
      </c>
      <c r="F1187" s="479">
        <v>18284.099999999999</v>
      </c>
    </row>
    <row r="1188" spans="3:6" x14ac:dyDescent="0.2">
      <c r="C1188" s="807">
        <v>44028</v>
      </c>
      <c r="D1188" s="331">
        <f t="shared" si="2"/>
        <v>318211.11</v>
      </c>
      <c r="E1188" s="478">
        <v>299927.01</v>
      </c>
      <c r="F1188" s="479">
        <v>18284.099999999999</v>
      </c>
    </row>
    <row r="1189" spans="3:6" x14ac:dyDescent="0.2">
      <c r="C1189" s="807">
        <v>44029</v>
      </c>
      <c r="D1189" s="331">
        <f t="shared" si="2"/>
        <v>318211.09999999998</v>
      </c>
      <c r="E1189" s="478">
        <v>299927</v>
      </c>
      <c r="F1189" s="479">
        <v>18284.099999999999</v>
      </c>
    </row>
    <row r="1190" spans="3:6" x14ac:dyDescent="0.2">
      <c r="C1190" s="807">
        <v>44032</v>
      </c>
      <c r="D1190" s="331">
        <f t="shared" si="2"/>
        <v>339655.69</v>
      </c>
      <c r="E1190" s="478">
        <v>304374.55</v>
      </c>
      <c r="F1190" s="479">
        <v>35281.14</v>
      </c>
    </row>
    <row r="1191" spans="3:6" x14ac:dyDescent="0.2">
      <c r="C1191" s="807">
        <v>44033</v>
      </c>
      <c r="D1191" s="331">
        <f t="shared" si="2"/>
        <v>328838.90999999997</v>
      </c>
      <c r="E1191" s="478">
        <v>293557.90999999997</v>
      </c>
      <c r="F1191" s="479">
        <v>35281</v>
      </c>
    </row>
    <row r="1192" spans="3:6" x14ac:dyDescent="0.2">
      <c r="C1192" s="807">
        <v>44034</v>
      </c>
      <c r="D1192" s="331">
        <f t="shared" si="2"/>
        <v>315049.81</v>
      </c>
      <c r="E1192" s="478">
        <v>305336.09999999998</v>
      </c>
      <c r="F1192" s="479">
        <v>9713.7099999999991</v>
      </c>
    </row>
    <row r="1193" spans="3:6" x14ac:dyDescent="0.2">
      <c r="C1193" s="807">
        <v>44035</v>
      </c>
      <c r="D1193" s="331">
        <f t="shared" si="2"/>
        <v>308750.14999999997</v>
      </c>
      <c r="E1193" s="478">
        <v>307782.98</v>
      </c>
      <c r="F1193" s="479">
        <v>967.17</v>
      </c>
    </row>
    <row r="1194" spans="3:6" x14ac:dyDescent="0.2">
      <c r="C1194" s="807">
        <v>44036</v>
      </c>
      <c r="D1194" s="331">
        <f t="shared" si="2"/>
        <v>309653.73</v>
      </c>
      <c r="E1194" s="478">
        <v>309453.73</v>
      </c>
      <c r="F1194" s="479">
        <v>200</v>
      </c>
    </row>
    <row r="1195" spans="3:6" x14ac:dyDescent="0.2">
      <c r="C1195" s="807">
        <v>44039</v>
      </c>
      <c r="D1195" s="331">
        <f t="shared" si="2"/>
        <v>300292.32</v>
      </c>
      <c r="E1195" s="478">
        <v>300092.32</v>
      </c>
      <c r="F1195" s="479">
        <v>200</v>
      </c>
    </row>
    <row r="1196" spans="3:6" x14ac:dyDescent="0.2">
      <c r="C1196" s="807">
        <v>44040</v>
      </c>
      <c r="D1196" s="331">
        <f t="shared" si="2"/>
        <v>300248.32000000001</v>
      </c>
      <c r="E1196" s="478">
        <v>300048.32</v>
      </c>
      <c r="F1196" s="479">
        <v>200</v>
      </c>
    </row>
    <row r="1197" spans="3:6" x14ac:dyDescent="0.2">
      <c r="C1197" s="807">
        <v>44041</v>
      </c>
      <c r="D1197" s="331">
        <f t="shared" si="2"/>
        <v>298885.23</v>
      </c>
      <c r="E1197" s="478">
        <v>298685.23</v>
      </c>
      <c r="F1197" s="479">
        <v>200</v>
      </c>
    </row>
    <row r="1198" spans="3:6" x14ac:dyDescent="0.2">
      <c r="C1198" s="807">
        <v>44042</v>
      </c>
      <c r="D1198" s="331">
        <f t="shared" si="2"/>
        <v>298918.89</v>
      </c>
      <c r="E1198" s="478">
        <v>298718.89</v>
      </c>
      <c r="F1198" s="479">
        <v>200</v>
      </c>
    </row>
    <row r="1199" spans="3:6" x14ac:dyDescent="0.2">
      <c r="C1199" s="807">
        <v>44043</v>
      </c>
      <c r="D1199" s="331">
        <f t="shared" ref="D1199:D1262" si="5">E1199+F1199</f>
        <v>298919</v>
      </c>
      <c r="E1199" s="478">
        <v>298719</v>
      </c>
      <c r="F1199" s="479">
        <v>200</v>
      </c>
    </row>
    <row r="1200" spans="3:6" x14ac:dyDescent="0.2">
      <c r="C1200" s="807">
        <v>44046</v>
      </c>
      <c r="D1200" s="331">
        <f t="shared" si="5"/>
        <v>262470.13</v>
      </c>
      <c r="E1200" s="478">
        <v>262270.13</v>
      </c>
      <c r="F1200" s="479">
        <v>200</v>
      </c>
    </row>
    <row r="1201" spans="3:6" x14ac:dyDescent="0.2">
      <c r="C1201" s="807">
        <v>44047</v>
      </c>
      <c r="D1201" s="331">
        <f t="shared" si="5"/>
        <v>254560.85</v>
      </c>
      <c r="E1201" s="478">
        <v>254360.85</v>
      </c>
      <c r="F1201" s="479">
        <v>200</v>
      </c>
    </row>
    <row r="1202" spans="3:6" x14ac:dyDescent="0.2">
      <c r="C1202" s="807">
        <v>44048</v>
      </c>
      <c r="D1202" s="331">
        <f t="shared" si="5"/>
        <v>254561</v>
      </c>
      <c r="E1202" s="478">
        <v>254361</v>
      </c>
      <c r="F1202" s="479">
        <v>200</v>
      </c>
    </row>
    <row r="1203" spans="3:6" x14ac:dyDescent="0.2">
      <c r="C1203" s="807">
        <v>44049</v>
      </c>
      <c r="D1203" s="331">
        <f t="shared" si="5"/>
        <v>256783.26</v>
      </c>
      <c r="E1203" s="478">
        <v>256583.26</v>
      </c>
      <c r="F1203" s="479">
        <v>200</v>
      </c>
    </row>
    <row r="1204" spans="3:6" x14ac:dyDescent="0.2">
      <c r="C1204" s="807">
        <v>44050</v>
      </c>
      <c r="D1204" s="331">
        <f t="shared" si="5"/>
        <v>256330.97</v>
      </c>
      <c r="E1204" s="478">
        <v>256130.97</v>
      </c>
      <c r="F1204" s="479">
        <v>200</v>
      </c>
    </row>
    <row r="1205" spans="3:6" x14ac:dyDescent="0.2">
      <c r="C1205" s="807">
        <v>44053</v>
      </c>
      <c r="D1205" s="331">
        <f t="shared" si="5"/>
        <v>256331</v>
      </c>
      <c r="E1205" s="478">
        <v>256131</v>
      </c>
      <c r="F1205" s="479">
        <v>200</v>
      </c>
    </row>
    <row r="1206" spans="3:6" x14ac:dyDescent="0.2">
      <c r="C1206" s="807">
        <v>44054</v>
      </c>
      <c r="D1206" s="331">
        <f t="shared" si="5"/>
        <v>256331</v>
      </c>
      <c r="E1206" s="478">
        <v>256131</v>
      </c>
      <c r="F1206" s="479">
        <v>200</v>
      </c>
    </row>
    <row r="1207" spans="3:6" x14ac:dyDescent="0.2">
      <c r="C1207" s="807">
        <v>44055</v>
      </c>
      <c r="D1207" s="331">
        <f t="shared" si="5"/>
        <v>256420.97</v>
      </c>
      <c r="E1207" s="478">
        <v>256220.97</v>
      </c>
      <c r="F1207" s="479">
        <v>200</v>
      </c>
    </row>
    <row r="1208" spans="3:6" x14ac:dyDescent="0.2">
      <c r="C1208" s="807">
        <v>44056</v>
      </c>
      <c r="D1208" s="331">
        <f t="shared" si="5"/>
        <v>256421</v>
      </c>
      <c r="E1208" s="478">
        <v>256221</v>
      </c>
      <c r="F1208" s="479">
        <v>200</v>
      </c>
    </row>
    <row r="1209" spans="3:6" x14ac:dyDescent="0.2">
      <c r="C1209" s="807">
        <v>44057</v>
      </c>
      <c r="D1209" s="331">
        <f t="shared" si="5"/>
        <v>296838.09999999998</v>
      </c>
      <c r="E1209" s="478">
        <v>296638.09999999998</v>
      </c>
      <c r="F1209" s="479">
        <v>200</v>
      </c>
    </row>
    <row r="1210" spans="3:6" x14ac:dyDescent="0.2">
      <c r="C1210" s="807">
        <v>44060</v>
      </c>
      <c r="D1210" s="331">
        <f t="shared" si="5"/>
        <v>261012.14</v>
      </c>
      <c r="E1210" s="478">
        <v>260812.14</v>
      </c>
      <c r="F1210" s="479">
        <v>200</v>
      </c>
    </row>
    <row r="1211" spans="3:6" x14ac:dyDescent="0.2">
      <c r="C1211" s="807">
        <v>44061</v>
      </c>
      <c r="D1211" s="331">
        <f t="shared" si="5"/>
        <v>345553.24</v>
      </c>
      <c r="E1211" s="478">
        <v>345353.24</v>
      </c>
      <c r="F1211" s="479">
        <v>200</v>
      </c>
    </row>
    <row r="1212" spans="3:6" x14ac:dyDescent="0.2">
      <c r="C1212" s="807">
        <v>44062</v>
      </c>
      <c r="D1212" s="331">
        <f t="shared" si="5"/>
        <v>345720.24</v>
      </c>
      <c r="E1212" s="478">
        <v>345520.24</v>
      </c>
      <c r="F1212" s="479">
        <v>200</v>
      </c>
    </row>
    <row r="1213" spans="3:6" x14ac:dyDescent="0.2">
      <c r="C1213" s="807">
        <v>44063</v>
      </c>
      <c r="D1213" s="331">
        <f t="shared" si="5"/>
        <v>343380.65</v>
      </c>
      <c r="E1213" s="478">
        <v>343180.65</v>
      </c>
      <c r="F1213" s="479">
        <v>200</v>
      </c>
    </row>
    <row r="1214" spans="3:6" x14ac:dyDescent="0.2">
      <c r="C1214" s="807">
        <v>44064</v>
      </c>
      <c r="D1214" s="331">
        <f t="shared" si="5"/>
        <v>342938.36</v>
      </c>
      <c r="E1214" s="478">
        <v>342738.36</v>
      </c>
      <c r="F1214" s="479">
        <v>200</v>
      </c>
    </row>
    <row r="1215" spans="3:6" x14ac:dyDescent="0.2">
      <c r="C1215" s="807">
        <v>44067</v>
      </c>
      <c r="D1215" s="331">
        <f t="shared" si="5"/>
        <v>342938</v>
      </c>
      <c r="E1215" s="478">
        <v>342738</v>
      </c>
      <c r="F1215" s="479">
        <v>200</v>
      </c>
    </row>
    <row r="1216" spans="3:6" x14ac:dyDescent="0.2">
      <c r="C1216" s="807">
        <v>44068</v>
      </c>
      <c r="D1216" s="331">
        <f t="shared" si="5"/>
        <v>340515.33</v>
      </c>
      <c r="E1216" s="478">
        <v>340315.33</v>
      </c>
      <c r="F1216" s="479">
        <v>200</v>
      </c>
    </row>
    <row r="1217" spans="3:6" x14ac:dyDescent="0.2">
      <c r="C1217" s="807">
        <v>44069</v>
      </c>
      <c r="D1217" s="331">
        <f t="shared" si="5"/>
        <v>359946.57</v>
      </c>
      <c r="E1217" s="478">
        <v>359746.57</v>
      </c>
      <c r="F1217" s="479">
        <v>200</v>
      </c>
    </row>
    <row r="1218" spans="3:6" x14ac:dyDescent="0.2">
      <c r="C1218" s="807">
        <v>44070</v>
      </c>
      <c r="D1218" s="331">
        <f t="shared" si="5"/>
        <v>359946.57</v>
      </c>
      <c r="E1218" s="478">
        <v>359746.57</v>
      </c>
      <c r="F1218" s="479">
        <v>200</v>
      </c>
    </row>
    <row r="1219" spans="3:6" x14ac:dyDescent="0.2">
      <c r="C1219" s="807">
        <v>44071</v>
      </c>
      <c r="D1219" s="331">
        <f t="shared" si="5"/>
        <v>359946.57</v>
      </c>
      <c r="E1219" s="478">
        <v>359746.57</v>
      </c>
      <c r="F1219" s="479">
        <v>200</v>
      </c>
    </row>
    <row r="1220" spans="3:6" x14ac:dyDescent="0.2">
      <c r="C1220" s="807">
        <v>44074</v>
      </c>
      <c r="D1220" s="331">
        <f t="shared" si="5"/>
        <v>359946.57</v>
      </c>
      <c r="E1220" s="478">
        <v>359746.57</v>
      </c>
      <c r="F1220" s="479">
        <v>200</v>
      </c>
    </row>
    <row r="1221" spans="3:6" x14ac:dyDescent="0.2">
      <c r="C1221" s="807">
        <v>44075</v>
      </c>
      <c r="D1221" s="331">
        <f t="shared" si="5"/>
        <v>347126.06</v>
      </c>
      <c r="E1221" s="478">
        <v>346926.06</v>
      </c>
      <c r="F1221" s="479">
        <v>200</v>
      </c>
    </row>
    <row r="1222" spans="3:6" x14ac:dyDescent="0.2">
      <c r="C1222" s="807">
        <v>44076</v>
      </c>
      <c r="D1222" s="331">
        <f t="shared" si="5"/>
        <v>347075.06</v>
      </c>
      <c r="E1222" s="478">
        <v>346875.06</v>
      </c>
      <c r="F1222" s="479">
        <v>200</v>
      </c>
    </row>
    <row r="1223" spans="3:6" x14ac:dyDescent="0.2">
      <c r="C1223" s="807">
        <v>44077</v>
      </c>
      <c r="D1223" s="331">
        <f t="shared" si="5"/>
        <v>350416.44</v>
      </c>
      <c r="E1223" s="478">
        <v>350216.44</v>
      </c>
      <c r="F1223" s="479">
        <v>200</v>
      </c>
    </row>
    <row r="1224" spans="3:6" x14ac:dyDescent="0.2">
      <c r="C1224" s="807">
        <v>44078</v>
      </c>
      <c r="D1224" s="331">
        <f t="shared" si="5"/>
        <v>343258.81</v>
      </c>
      <c r="E1224" s="478">
        <v>343058.81</v>
      </c>
      <c r="F1224" s="479">
        <v>200</v>
      </c>
    </row>
    <row r="1225" spans="3:6" x14ac:dyDescent="0.2">
      <c r="C1225" s="807">
        <v>44081</v>
      </c>
      <c r="D1225" s="331">
        <f t="shared" si="5"/>
        <v>343258.81</v>
      </c>
      <c r="E1225" s="478">
        <v>343058.81</v>
      </c>
      <c r="F1225" s="479">
        <v>200</v>
      </c>
    </row>
    <row r="1226" spans="3:6" x14ac:dyDescent="0.2">
      <c r="C1226" s="807">
        <v>44082</v>
      </c>
      <c r="D1226" s="331">
        <f t="shared" si="5"/>
        <v>343258.81</v>
      </c>
      <c r="E1226" s="478">
        <v>343058.81</v>
      </c>
      <c r="F1226" s="479">
        <v>200</v>
      </c>
    </row>
    <row r="1227" spans="3:6" x14ac:dyDescent="0.2">
      <c r="C1227" s="807">
        <v>44083</v>
      </c>
      <c r="D1227" s="331">
        <f t="shared" si="5"/>
        <v>343258.81</v>
      </c>
      <c r="E1227" s="478">
        <v>343058.81</v>
      </c>
      <c r="F1227" s="479">
        <v>200</v>
      </c>
    </row>
    <row r="1228" spans="3:6" x14ac:dyDescent="0.2">
      <c r="C1228" s="807">
        <v>44084</v>
      </c>
      <c r="D1228" s="331">
        <f t="shared" si="5"/>
        <v>351420.85</v>
      </c>
      <c r="E1228" s="478">
        <v>351220.85</v>
      </c>
      <c r="F1228" s="479">
        <v>200</v>
      </c>
    </row>
    <row r="1229" spans="3:6" x14ac:dyDescent="0.2">
      <c r="C1229" s="807">
        <v>44085</v>
      </c>
      <c r="D1229" s="331">
        <f t="shared" si="5"/>
        <v>351420.85</v>
      </c>
      <c r="E1229" s="478">
        <v>351220.85</v>
      </c>
      <c r="F1229" s="479">
        <v>200</v>
      </c>
    </row>
    <row r="1230" spans="3:6" x14ac:dyDescent="0.2">
      <c r="C1230" s="807">
        <v>44088</v>
      </c>
      <c r="D1230" s="331">
        <f t="shared" si="5"/>
        <v>319295.21000000002</v>
      </c>
      <c r="E1230" s="478">
        <v>319095.21000000002</v>
      </c>
      <c r="F1230" s="479">
        <v>200</v>
      </c>
    </row>
    <row r="1231" spans="3:6" x14ac:dyDescent="0.2">
      <c r="C1231" s="807">
        <v>44089</v>
      </c>
      <c r="D1231" s="331">
        <f t="shared" si="5"/>
        <v>319390.87</v>
      </c>
      <c r="E1231" s="478">
        <v>319190.87</v>
      </c>
      <c r="F1231" s="479">
        <v>200</v>
      </c>
    </row>
    <row r="1232" spans="3:6" x14ac:dyDescent="0.2">
      <c r="C1232" s="807">
        <v>44090</v>
      </c>
      <c r="D1232" s="331">
        <f t="shared" si="5"/>
        <v>318221.31</v>
      </c>
      <c r="E1232" s="478">
        <v>318021.31</v>
      </c>
      <c r="F1232" s="479">
        <v>200</v>
      </c>
    </row>
    <row r="1233" spans="3:6" x14ac:dyDescent="0.2">
      <c r="C1233" s="807">
        <v>44091</v>
      </c>
      <c r="D1233" s="331">
        <f t="shared" si="5"/>
        <v>321494.34000000003</v>
      </c>
      <c r="E1233" s="478">
        <v>321294.34000000003</v>
      </c>
      <c r="F1233" s="479">
        <v>200</v>
      </c>
    </row>
    <row r="1234" spans="3:6" x14ac:dyDescent="0.2">
      <c r="C1234" s="807">
        <v>44092</v>
      </c>
      <c r="D1234" s="331">
        <f t="shared" si="5"/>
        <v>321052.05</v>
      </c>
      <c r="E1234" s="478">
        <v>320852.05</v>
      </c>
      <c r="F1234" s="479">
        <v>200</v>
      </c>
    </row>
    <row r="1235" spans="3:6" x14ac:dyDescent="0.2">
      <c r="C1235" s="807">
        <v>44095</v>
      </c>
      <c r="D1235" s="331">
        <f t="shared" si="5"/>
        <v>321052</v>
      </c>
      <c r="E1235" s="478">
        <v>320852</v>
      </c>
      <c r="F1235" s="479">
        <v>200</v>
      </c>
    </row>
    <row r="1236" spans="3:6" x14ac:dyDescent="0.2">
      <c r="C1236" s="807">
        <v>44096</v>
      </c>
      <c r="D1236" s="331">
        <f t="shared" si="5"/>
        <v>347075.9</v>
      </c>
      <c r="E1236" s="478">
        <v>346875.9</v>
      </c>
      <c r="F1236" s="479">
        <v>200</v>
      </c>
    </row>
    <row r="1237" spans="3:6" x14ac:dyDescent="0.2">
      <c r="C1237" s="807">
        <v>44097</v>
      </c>
      <c r="D1237" s="331">
        <f t="shared" si="5"/>
        <v>348950.3</v>
      </c>
      <c r="E1237" s="478">
        <v>348750.3</v>
      </c>
      <c r="F1237" s="479">
        <v>200</v>
      </c>
    </row>
    <row r="1238" spans="3:6" x14ac:dyDescent="0.2">
      <c r="C1238" s="807">
        <v>44098</v>
      </c>
      <c r="D1238" s="331">
        <f t="shared" si="5"/>
        <v>354130.18</v>
      </c>
      <c r="E1238" s="478">
        <v>353930.18</v>
      </c>
      <c r="F1238" s="479">
        <v>200</v>
      </c>
    </row>
    <row r="1239" spans="3:6" x14ac:dyDescent="0.2">
      <c r="C1239" s="807">
        <v>44099</v>
      </c>
      <c r="D1239" s="331">
        <f t="shared" si="5"/>
        <v>354086.18</v>
      </c>
      <c r="E1239" s="478">
        <v>353886.18</v>
      </c>
      <c r="F1239" s="479">
        <v>200</v>
      </c>
    </row>
    <row r="1240" spans="3:6" x14ac:dyDescent="0.2">
      <c r="C1240" s="807">
        <v>44102</v>
      </c>
      <c r="D1240" s="331">
        <f t="shared" si="5"/>
        <v>348608</v>
      </c>
      <c r="E1240" s="478">
        <v>348408</v>
      </c>
      <c r="F1240" s="479">
        <v>200</v>
      </c>
    </row>
    <row r="1241" spans="3:6" x14ac:dyDescent="0.2">
      <c r="C1241" s="807">
        <v>44103</v>
      </c>
      <c r="D1241" s="331">
        <f t="shared" si="5"/>
        <v>313591.89</v>
      </c>
      <c r="E1241" s="478">
        <v>313391.89</v>
      </c>
      <c r="F1241" s="479">
        <v>200</v>
      </c>
    </row>
    <row r="1242" spans="3:6" x14ac:dyDescent="0.2">
      <c r="C1242" s="807">
        <v>44104</v>
      </c>
      <c r="D1242" s="331">
        <f t="shared" si="5"/>
        <v>348489.68</v>
      </c>
      <c r="E1242" s="478">
        <v>348289.68</v>
      </c>
      <c r="F1242" s="479">
        <v>200</v>
      </c>
    </row>
    <row r="1243" spans="3:6" x14ac:dyDescent="0.2">
      <c r="C1243" s="807">
        <v>44105</v>
      </c>
      <c r="D1243" s="331">
        <f t="shared" si="5"/>
        <v>346634.44</v>
      </c>
      <c r="E1243" s="478">
        <v>346434.44</v>
      </c>
      <c r="F1243" s="479">
        <v>200</v>
      </c>
    </row>
    <row r="1244" spans="3:6" x14ac:dyDescent="0.2">
      <c r="C1244" s="807">
        <v>44106</v>
      </c>
      <c r="D1244" s="331">
        <f t="shared" si="5"/>
        <v>346390.75</v>
      </c>
      <c r="E1244" s="478">
        <v>346190.75</v>
      </c>
      <c r="F1244" s="479">
        <v>200</v>
      </c>
    </row>
    <row r="1245" spans="3:6" x14ac:dyDescent="0.2">
      <c r="C1245" s="807">
        <v>44109</v>
      </c>
      <c r="D1245" s="331">
        <f t="shared" si="5"/>
        <v>346313.83</v>
      </c>
      <c r="E1245" s="478">
        <v>346113.83</v>
      </c>
      <c r="F1245" s="479">
        <v>200</v>
      </c>
    </row>
    <row r="1246" spans="3:6" x14ac:dyDescent="0.2">
      <c r="C1246" s="807">
        <v>44110</v>
      </c>
      <c r="D1246" s="331">
        <f t="shared" si="5"/>
        <v>346084.99</v>
      </c>
      <c r="E1246" s="478">
        <v>345884.99</v>
      </c>
      <c r="F1246" s="479">
        <v>200</v>
      </c>
    </row>
    <row r="1247" spans="3:6" x14ac:dyDescent="0.2">
      <c r="C1247" s="807">
        <v>44111</v>
      </c>
      <c r="D1247" s="331">
        <f t="shared" si="5"/>
        <v>346085</v>
      </c>
      <c r="E1247" s="478">
        <v>345885</v>
      </c>
      <c r="F1247" s="479">
        <v>200</v>
      </c>
    </row>
    <row r="1248" spans="3:6" x14ac:dyDescent="0.2">
      <c r="C1248" s="807">
        <v>44112</v>
      </c>
      <c r="D1248" s="331">
        <f t="shared" si="5"/>
        <v>380839.99</v>
      </c>
      <c r="E1248" s="478">
        <v>380639.99</v>
      </c>
      <c r="F1248" s="479">
        <v>200</v>
      </c>
    </row>
    <row r="1249" spans="3:6" x14ac:dyDescent="0.2">
      <c r="C1249" s="807">
        <v>44113</v>
      </c>
      <c r="D1249" s="331">
        <f t="shared" si="5"/>
        <v>380840</v>
      </c>
      <c r="E1249" s="478">
        <v>380640</v>
      </c>
      <c r="F1249" s="479">
        <v>200</v>
      </c>
    </row>
    <row r="1250" spans="3:6" x14ac:dyDescent="0.2">
      <c r="C1250" s="807">
        <v>44116</v>
      </c>
      <c r="D1250" s="331">
        <f t="shared" si="5"/>
        <v>380840</v>
      </c>
      <c r="E1250" s="478">
        <v>380640</v>
      </c>
      <c r="F1250" s="479">
        <v>200</v>
      </c>
    </row>
    <row r="1251" spans="3:6" x14ac:dyDescent="0.2">
      <c r="C1251" s="807">
        <v>44117</v>
      </c>
      <c r="D1251" s="331">
        <f t="shared" si="5"/>
        <v>346182.3</v>
      </c>
      <c r="E1251" s="478">
        <v>345982.3</v>
      </c>
      <c r="F1251" s="479">
        <v>200</v>
      </c>
    </row>
    <row r="1252" spans="3:6" x14ac:dyDescent="0.2">
      <c r="C1252" s="807">
        <v>44118</v>
      </c>
      <c r="D1252" s="331">
        <f t="shared" si="5"/>
        <v>346103.46</v>
      </c>
      <c r="E1252" s="478">
        <v>345903.46</v>
      </c>
      <c r="F1252" s="479">
        <v>200</v>
      </c>
    </row>
    <row r="1253" spans="3:6" x14ac:dyDescent="0.2">
      <c r="C1253" s="807">
        <v>44119</v>
      </c>
      <c r="D1253" s="331">
        <f t="shared" si="5"/>
        <v>339569.88</v>
      </c>
      <c r="E1253" s="478">
        <v>339369.88</v>
      </c>
      <c r="F1253" s="479">
        <v>200</v>
      </c>
    </row>
    <row r="1254" spans="3:6" x14ac:dyDescent="0.2">
      <c r="C1254" s="807">
        <v>44120</v>
      </c>
      <c r="D1254" s="331">
        <f t="shared" si="5"/>
        <v>364967.49</v>
      </c>
      <c r="E1254" s="478">
        <v>364767.49</v>
      </c>
      <c r="F1254" s="479">
        <v>200</v>
      </c>
    </row>
    <row r="1255" spans="3:6" x14ac:dyDescent="0.2">
      <c r="C1255" s="807">
        <v>44123</v>
      </c>
      <c r="D1255" s="331">
        <f t="shared" si="5"/>
        <v>343525.33</v>
      </c>
      <c r="E1255" s="478">
        <v>343325.33</v>
      </c>
      <c r="F1255" s="479">
        <v>200</v>
      </c>
    </row>
    <row r="1256" spans="3:6" x14ac:dyDescent="0.2">
      <c r="C1256" s="807">
        <v>44124</v>
      </c>
      <c r="D1256" s="331">
        <f t="shared" si="5"/>
        <v>343525</v>
      </c>
      <c r="E1256" s="478">
        <v>343325</v>
      </c>
      <c r="F1256" s="479">
        <v>200</v>
      </c>
    </row>
    <row r="1257" spans="3:6" x14ac:dyDescent="0.2">
      <c r="C1257" s="807">
        <v>44125</v>
      </c>
      <c r="D1257" s="331">
        <f t="shared" si="5"/>
        <v>340413.21</v>
      </c>
      <c r="E1257" s="478">
        <v>340213.21</v>
      </c>
      <c r="F1257" s="479">
        <v>200</v>
      </c>
    </row>
    <row r="1258" spans="3:6" x14ac:dyDescent="0.2">
      <c r="C1258" s="807">
        <v>44126</v>
      </c>
      <c r="D1258" s="331">
        <f t="shared" si="5"/>
        <v>354245.2</v>
      </c>
      <c r="E1258" s="478">
        <v>354045.2</v>
      </c>
      <c r="F1258" s="479">
        <v>200</v>
      </c>
    </row>
    <row r="1259" spans="3:6" x14ac:dyDescent="0.2">
      <c r="C1259" s="807">
        <v>44127</v>
      </c>
      <c r="D1259" s="331">
        <f t="shared" si="5"/>
        <v>354086.35</v>
      </c>
      <c r="E1259" s="478">
        <v>353886.35</v>
      </c>
      <c r="F1259" s="479">
        <v>200</v>
      </c>
    </row>
    <row r="1260" spans="3:6" x14ac:dyDescent="0.2">
      <c r="C1260" s="807">
        <v>44130</v>
      </c>
      <c r="D1260" s="331">
        <f t="shared" si="5"/>
        <v>354086</v>
      </c>
      <c r="E1260" s="478">
        <v>353886</v>
      </c>
      <c r="F1260" s="479">
        <v>200</v>
      </c>
    </row>
    <row r="1261" spans="3:6" x14ac:dyDescent="0.2">
      <c r="C1261" s="807">
        <v>44131</v>
      </c>
      <c r="D1261" s="331">
        <f t="shared" si="5"/>
        <v>312941.49</v>
      </c>
      <c r="E1261" s="478">
        <v>312741.49</v>
      </c>
      <c r="F1261" s="479">
        <v>200</v>
      </c>
    </row>
    <row r="1262" spans="3:6" x14ac:dyDescent="0.2">
      <c r="C1262" s="807">
        <v>44132</v>
      </c>
      <c r="D1262" s="331">
        <f t="shared" si="5"/>
        <v>312941</v>
      </c>
      <c r="E1262" s="478">
        <v>312741</v>
      </c>
      <c r="F1262" s="479">
        <v>200</v>
      </c>
    </row>
    <row r="1263" spans="3:6" x14ac:dyDescent="0.2">
      <c r="C1263" s="807">
        <v>44133</v>
      </c>
      <c r="D1263" s="331">
        <f t="shared" ref="D1263:D1326" si="6">E1263+F1263</f>
        <v>312941</v>
      </c>
      <c r="E1263" s="478">
        <v>312741</v>
      </c>
      <c r="F1263" s="479">
        <v>200</v>
      </c>
    </row>
    <row r="1264" spans="3:6" x14ac:dyDescent="0.2">
      <c r="C1264" s="807">
        <v>44134</v>
      </c>
      <c r="D1264" s="331">
        <f t="shared" si="6"/>
        <v>336359.66</v>
      </c>
      <c r="E1264" s="478">
        <v>336159.66</v>
      </c>
      <c r="F1264" s="479">
        <v>200</v>
      </c>
    </row>
    <row r="1265" spans="3:6" x14ac:dyDescent="0.2">
      <c r="C1265" s="807">
        <v>44137</v>
      </c>
      <c r="D1265" s="331">
        <f t="shared" si="6"/>
        <v>336077.1</v>
      </c>
      <c r="E1265" s="478">
        <v>335877.1</v>
      </c>
      <c r="F1265" s="479">
        <v>200</v>
      </c>
    </row>
    <row r="1266" spans="3:6" x14ac:dyDescent="0.2">
      <c r="C1266" s="807">
        <v>44138</v>
      </c>
      <c r="D1266" s="331">
        <f t="shared" si="6"/>
        <v>336077</v>
      </c>
      <c r="E1266" s="478">
        <v>335877</v>
      </c>
      <c r="F1266" s="479">
        <v>200</v>
      </c>
    </row>
    <row r="1267" spans="3:6" x14ac:dyDescent="0.2">
      <c r="C1267" s="807">
        <v>44139</v>
      </c>
      <c r="D1267" s="331">
        <f t="shared" si="6"/>
        <v>328153.34999999998</v>
      </c>
      <c r="E1267" s="478">
        <v>327953.34999999998</v>
      </c>
      <c r="F1267" s="479">
        <v>200</v>
      </c>
    </row>
    <row r="1268" spans="3:6" x14ac:dyDescent="0.2">
      <c r="C1268" s="807">
        <v>44140</v>
      </c>
      <c r="D1268" s="331">
        <f t="shared" si="6"/>
        <v>328497.34999999998</v>
      </c>
      <c r="E1268" s="478">
        <v>328297.34999999998</v>
      </c>
      <c r="F1268" s="479">
        <v>200</v>
      </c>
    </row>
    <row r="1269" spans="3:6" x14ac:dyDescent="0.2">
      <c r="C1269" s="807">
        <v>44141</v>
      </c>
      <c r="D1269" s="331">
        <f t="shared" si="6"/>
        <v>327078.57</v>
      </c>
      <c r="E1269" s="478">
        <v>326878.57</v>
      </c>
      <c r="F1269" s="479">
        <v>200</v>
      </c>
    </row>
    <row r="1270" spans="3:6" x14ac:dyDescent="0.2">
      <c r="C1270" s="807">
        <v>44144</v>
      </c>
      <c r="D1270" s="331">
        <f t="shared" si="6"/>
        <v>293224.96000000002</v>
      </c>
      <c r="E1270" s="478">
        <v>293024.96000000002</v>
      </c>
      <c r="F1270" s="479">
        <v>200</v>
      </c>
    </row>
    <row r="1271" spans="3:6" x14ac:dyDescent="0.2">
      <c r="C1271" s="807">
        <v>44145</v>
      </c>
      <c r="D1271" s="331">
        <f t="shared" si="6"/>
        <v>297955.08</v>
      </c>
      <c r="E1271" s="478">
        <v>297755.08</v>
      </c>
      <c r="F1271" s="479">
        <v>200</v>
      </c>
    </row>
    <row r="1272" spans="3:6" x14ac:dyDescent="0.2">
      <c r="C1272" s="807">
        <v>44146</v>
      </c>
      <c r="D1272" s="331">
        <f t="shared" si="6"/>
        <v>297955</v>
      </c>
      <c r="E1272" s="478">
        <v>297755</v>
      </c>
      <c r="F1272" s="479">
        <v>200</v>
      </c>
    </row>
    <row r="1273" spans="3:6" x14ac:dyDescent="0.2">
      <c r="C1273" s="807">
        <v>44147</v>
      </c>
      <c r="D1273" s="331">
        <f t="shared" si="6"/>
        <v>301097.59000000003</v>
      </c>
      <c r="E1273" s="478">
        <v>300897.59000000003</v>
      </c>
      <c r="F1273" s="479">
        <v>200</v>
      </c>
    </row>
    <row r="1274" spans="3:6" x14ac:dyDescent="0.2">
      <c r="C1274" s="807">
        <v>44148</v>
      </c>
      <c r="D1274" s="331">
        <f t="shared" si="6"/>
        <v>300720.71000000002</v>
      </c>
      <c r="E1274" s="478">
        <v>300520.71000000002</v>
      </c>
      <c r="F1274" s="479">
        <v>200</v>
      </c>
    </row>
    <row r="1275" spans="3:6" x14ac:dyDescent="0.2">
      <c r="C1275" s="807">
        <v>44151</v>
      </c>
      <c r="D1275" s="331">
        <f t="shared" si="6"/>
        <v>300721</v>
      </c>
      <c r="E1275" s="478">
        <v>300521</v>
      </c>
      <c r="F1275" s="479">
        <v>200</v>
      </c>
    </row>
    <row r="1276" spans="3:6" x14ac:dyDescent="0.2">
      <c r="C1276" s="807">
        <v>44152</v>
      </c>
      <c r="D1276" s="331">
        <f t="shared" si="6"/>
        <v>300721</v>
      </c>
      <c r="E1276" s="478">
        <v>300521</v>
      </c>
      <c r="F1276" s="479">
        <v>200</v>
      </c>
    </row>
    <row r="1277" spans="3:6" x14ac:dyDescent="0.2">
      <c r="C1277" s="807">
        <v>44153</v>
      </c>
      <c r="D1277" s="331">
        <f t="shared" si="6"/>
        <v>298371.37</v>
      </c>
      <c r="E1277" s="478">
        <v>298171.37</v>
      </c>
      <c r="F1277" s="479">
        <v>200</v>
      </c>
    </row>
    <row r="1278" spans="3:6" x14ac:dyDescent="0.2">
      <c r="C1278" s="807">
        <v>44154</v>
      </c>
      <c r="D1278" s="331">
        <f t="shared" si="6"/>
        <v>298371</v>
      </c>
      <c r="E1278" s="478">
        <v>298171</v>
      </c>
      <c r="F1278" s="479">
        <v>200</v>
      </c>
    </row>
    <row r="1279" spans="3:6" x14ac:dyDescent="0.2">
      <c r="C1279" s="807">
        <v>44155</v>
      </c>
      <c r="D1279" s="331">
        <f t="shared" si="6"/>
        <v>297912.75</v>
      </c>
      <c r="E1279" s="478">
        <v>297712.75</v>
      </c>
      <c r="F1279" s="479">
        <v>200</v>
      </c>
    </row>
    <row r="1280" spans="3:6" x14ac:dyDescent="0.2">
      <c r="C1280" s="807">
        <v>44158</v>
      </c>
      <c r="D1280" s="331">
        <f t="shared" si="6"/>
        <v>260100.75</v>
      </c>
      <c r="E1280" s="478">
        <v>259900.75</v>
      </c>
      <c r="F1280" s="479">
        <v>200</v>
      </c>
    </row>
    <row r="1281" spans="3:6" x14ac:dyDescent="0.2">
      <c r="C1281" s="807">
        <v>44159</v>
      </c>
      <c r="D1281" s="331">
        <f t="shared" si="6"/>
        <v>260101</v>
      </c>
      <c r="E1281" s="478">
        <v>259901</v>
      </c>
      <c r="F1281" s="479">
        <v>200</v>
      </c>
    </row>
    <row r="1282" spans="3:6" x14ac:dyDescent="0.2">
      <c r="C1282" s="807">
        <v>44160</v>
      </c>
      <c r="D1282" s="331">
        <f t="shared" si="6"/>
        <v>259952.43</v>
      </c>
      <c r="E1282" s="478">
        <v>259752.43</v>
      </c>
      <c r="F1282" s="479">
        <v>200</v>
      </c>
    </row>
    <row r="1283" spans="3:6" x14ac:dyDescent="0.2">
      <c r="C1283" s="807">
        <v>44161</v>
      </c>
      <c r="D1283" s="331">
        <f t="shared" si="6"/>
        <v>259952</v>
      </c>
      <c r="E1283" s="478">
        <v>259752</v>
      </c>
      <c r="F1283" s="479">
        <v>200</v>
      </c>
    </row>
    <row r="1284" spans="3:6" x14ac:dyDescent="0.2">
      <c r="C1284" s="807">
        <v>44162</v>
      </c>
      <c r="D1284" s="331">
        <f t="shared" si="6"/>
        <v>261011.41</v>
      </c>
      <c r="E1284" s="478">
        <v>260811.41</v>
      </c>
      <c r="F1284" s="479">
        <v>200</v>
      </c>
    </row>
    <row r="1285" spans="3:6" x14ac:dyDescent="0.2">
      <c r="C1285" s="807">
        <v>44165</v>
      </c>
      <c r="D1285" s="331">
        <f t="shared" si="6"/>
        <v>256570.76</v>
      </c>
      <c r="E1285" s="478">
        <v>256370.76</v>
      </c>
      <c r="F1285" s="479">
        <v>200</v>
      </c>
    </row>
    <row r="1286" spans="3:6" x14ac:dyDescent="0.2">
      <c r="C1286" s="807">
        <v>44166</v>
      </c>
      <c r="D1286" s="331">
        <f t="shared" si="6"/>
        <v>256571</v>
      </c>
      <c r="E1286" s="478">
        <v>256371</v>
      </c>
      <c r="F1286" s="479">
        <v>200</v>
      </c>
    </row>
    <row r="1287" spans="3:6" x14ac:dyDescent="0.2">
      <c r="C1287" s="807">
        <v>44167</v>
      </c>
      <c r="D1287" s="331">
        <f t="shared" si="6"/>
        <v>343824.57</v>
      </c>
      <c r="E1287" s="478">
        <v>343624.57</v>
      </c>
      <c r="F1287" s="479">
        <v>200</v>
      </c>
    </row>
    <row r="1288" spans="3:6" x14ac:dyDescent="0.2">
      <c r="C1288" s="807">
        <v>44168</v>
      </c>
      <c r="D1288" s="331">
        <f t="shared" si="6"/>
        <v>348428.77</v>
      </c>
      <c r="E1288" s="478">
        <v>348228.77</v>
      </c>
      <c r="F1288" s="479">
        <v>200</v>
      </c>
    </row>
    <row r="1289" spans="3:6" x14ac:dyDescent="0.2">
      <c r="C1289" s="807">
        <v>44169</v>
      </c>
      <c r="D1289" s="331">
        <f t="shared" si="6"/>
        <v>348429</v>
      </c>
      <c r="E1289" s="478">
        <v>348229</v>
      </c>
      <c r="F1289" s="479">
        <v>200</v>
      </c>
    </row>
    <row r="1290" spans="3:6" x14ac:dyDescent="0.2">
      <c r="C1290" s="807">
        <v>44172</v>
      </c>
      <c r="D1290" s="331">
        <f t="shared" si="6"/>
        <v>313593.81</v>
      </c>
      <c r="E1290" s="478">
        <v>313393.81</v>
      </c>
      <c r="F1290" s="479">
        <v>200</v>
      </c>
    </row>
    <row r="1291" spans="3:6" x14ac:dyDescent="0.2">
      <c r="C1291" s="807">
        <v>44173</v>
      </c>
      <c r="D1291" s="331">
        <f t="shared" si="6"/>
        <v>320775.28999999998</v>
      </c>
      <c r="E1291" s="478">
        <v>320575.28999999998</v>
      </c>
      <c r="F1291" s="479">
        <v>200</v>
      </c>
    </row>
    <row r="1292" spans="3:6" x14ac:dyDescent="0.2">
      <c r="C1292" s="807">
        <v>44174</v>
      </c>
      <c r="D1292" s="331">
        <f t="shared" si="6"/>
        <v>321115.28999999998</v>
      </c>
      <c r="E1292" s="478">
        <v>320915.28999999998</v>
      </c>
      <c r="F1292" s="479">
        <v>200</v>
      </c>
    </row>
    <row r="1293" spans="3:6" x14ac:dyDescent="0.2">
      <c r="C1293" s="807">
        <v>44175</v>
      </c>
      <c r="D1293" s="331">
        <f t="shared" si="6"/>
        <v>314719.49</v>
      </c>
      <c r="E1293" s="478">
        <v>314519.49</v>
      </c>
      <c r="F1293" s="479">
        <v>200</v>
      </c>
    </row>
    <row r="1294" spans="3:6" x14ac:dyDescent="0.2">
      <c r="C1294" s="807">
        <v>44176</v>
      </c>
      <c r="D1294" s="331">
        <f t="shared" si="6"/>
        <v>317009.81</v>
      </c>
      <c r="E1294" s="478">
        <v>316809.81</v>
      </c>
      <c r="F1294" s="479">
        <v>200</v>
      </c>
    </row>
    <row r="1295" spans="3:6" x14ac:dyDescent="0.2">
      <c r="C1295" s="807">
        <v>44179</v>
      </c>
      <c r="D1295" s="331">
        <f t="shared" si="6"/>
        <v>316409.81</v>
      </c>
      <c r="E1295" s="478">
        <v>316209.81</v>
      </c>
      <c r="F1295" s="479">
        <v>200</v>
      </c>
    </row>
    <row r="1296" spans="3:6" x14ac:dyDescent="0.2">
      <c r="C1296" s="807">
        <v>44180</v>
      </c>
      <c r="D1296" s="331">
        <f t="shared" si="6"/>
        <v>316462.65000000002</v>
      </c>
      <c r="E1296" s="478">
        <v>316262.65000000002</v>
      </c>
      <c r="F1296" s="479">
        <v>200</v>
      </c>
    </row>
    <row r="1297" spans="3:6" x14ac:dyDescent="0.2">
      <c r="C1297" s="807">
        <v>44181</v>
      </c>
      <c r="D1297" s="331">
        <f t="shared" si="6"/>
        <v>337790.61</v>
      </c>
      <c r="E1297" s="478">
        <v>337590.61</v>
      </c>
      <c r="F1297" s="479">
        <v>200</v>
      </c>
    </row>
    <row r="1298" spans="3:6" x14ac:dyDescent="0.2">
      <c r="C1298" s="807">
        <v>44182</v>
      </c>
      <c r="D1298" s="331">
        <f t="shared" si="6"/>
        <v>337791</v>
      </c>
      <c r="E1298" s="478">
        <v>337591</v>
      </c>
      <c r="F1298" s="479">
        <v>200</v>
      </c>
    </row>
    <row r="1299" spans="3:6" x14ac:dyDescent="0.2">
      <c r="C1299" s="807">
        <v>44183</v>
      </c>
      <c r="D1299" s="331">
        <f t="shared" si="6"/>
        <v>337791</v>
      </c>
      <c r="E1299" s="478">
        <v>337591</v>
      </c>
      <c r="F1299" s="479">
        <v>200</v>
      </c>
    </row>
    <row r="1300" spans="3:6" x14ac:dyDescent="0.2">
      <c r="C1300" s="807">
        <v>44186</v>
      </c>
      <c r="D1300" s="331">
        <f t="shared" si="6"/>
        <v>304627.44</v>
      </c>
      <c r="E1300" s="478">
        <v>304427.44</v>
      </c>
      <c r="F1300" s="479">
        <v>200</v>
      </c>
    </row>
    <row r="1301" spans="3:6" x14ac:dyDescent="0.2">
      <c r="C1301" s="807">
        <v>44187</v>
      </c>
      <c r="D1301" s="331">
        <f t="shared" si="6"/>
        <v>304802.88</v>
      </c>
      <c r="E1301" s="478">
        <v>304602.88</v>
      </c>
      <c r="F1301" s="479">
        <v>200</v>
      </c>
    </row>
    <row r="1302" spans="3:6" x14ac:dyDescent="0.2">
      <c r="C1302" s="807">
        <v>44188</v>
      </c>
      <c r="D1302" s="331">
        <f t="shared" si="6"/>
        <v>304803</v>
      </c>
      <c r="E1302" s="478">
        <v>304603</v>
      </c>
      <c r="F1302" s="479">
        <v>200</v>
      </c>
    </row>
    <row r="1303" spans="3:6" x14ac:dyDescent="0.2">
      <c r="C1303" s="807">
        <v>44189</v>
      </c>
      <c r="D1303" s="331">
        <f t="shared" si="6"/>
        <v>338461.96</v>
      </c>
      <c r="E1303" s="478">
        <v>338261.96</v>
      </c>
      <c r="F1303" s="479">
        <v>200</v>
      </c>
    </row>
    <row r="1304" spans="3:6" x14ac:dyDescent="0.2">
      <c r="C1304" s="807">
        <v>44190</v>
      </c>
      <c r="D1304" s="331">
        <f t="shared" si="6"/>
        <v>338462</v>
      </c>
      <c r="E1304" s="478">
        <v>338262</v>
      </c>
      <c r="F1304" s="479">
        <v>200</v>
      </c>
    </row>
    <row r="1305" spans="3:6" x14ac:dyDescent="0.2">
      <c r="C1305" s="807">
        <v>44193</v>
      </c>
      <c r="D1305" s="331">
        <f t="shared" si="6"/>
        <v>373533.96</v>
      </c>
      <c r="E1305" s="478">
        <v>373333.96</v>
      </c>
      <c r="F1305" s="479">
        <v>200</v>
      </c>
    </row>
    <row r="1306" spans="3:6" x14ac:dyDescent="0.2">
      <c r="C1306" s="807">
        <v>44194</v>
      </c>
      <c r="D1306" s="331">
        <f t="shared" si="6"/>
        <v>373168.21</v>
      </c>
      <c r="E1306" s="478">
        <v>372968.21</v>
      </c>
      <c r="F1306" s="479">
        <v>200</v>
      </c>
    </row>
    <row r="1307" spans="3:6" x14ac:dyDescent="0.2">
      <c r="C1307" s="807">
        <v>44195</v>
      </c>
      <c r="D1307" s="331">
        <f t="shared" si="6"/>
        <v>375552.7</v>
      </c>
      <c r="E1307" s="478">
        <v>375352.7</v>
      </c>
      <c r="F1307" s="479">
        <v>200</v>
      </c>
    </row>
    <row r="1308" spans="3:6" x14ac:dyDescent="0.2">
      <c r="C1308" s="807">
        <v>44196</v>
      </c>
      <c r="D1308" s="331">
        <f t="shared" si="6"/>
        <v>397543.49</v>
      </c>
      <c r="E1308" s="478">
        <v>397343.49</v>
      </c>
      <c r="F1308" s="479">
        <v>200</v>
      </c>
    </row>
    <row r="1309" spans="3:6" x14ac:dyDescent="0.2">
      <c r="C1309" s="807">
        <v>44197</v>
      </c>
      <c r="D1309" s="331">
        <f t="shared" si="6"/>
        <v>397543</v>
      </c>
      <c r="E1309" s="478">
        <v>397343</v>
      </c>
      <c r="F1309" s="479">
        <v>200</v>
      </c>
    </row>
    <row r="1310" spans="3:6" x14ac:dyDescent="0.2">
      <c r="C1310" s="807">
        <v>44200</v>
      </c>
      <c r="D1310" s="331">
        <f t="shared" si="6"/>
        <v>380539.51</v>
      </c>
      <c r="E1310" s="478">
        <v>380339.51</v>
      </c>
      <c r="F1310" s="479">
        <v>200</v>
      </c>
    </row>
    <row r="1311" spans="3:6" x14ac:dyDescent="0.2">
      <c r="C1311" s="807">
        <v>44201</v>
      </c>
      <c r="D1311" s="331">
        <f t="shared" si="6"/>
        <v>349091.91</v>
      </c>
      <c r="E1311" s="478">
        <v>348891.91</v>
      </c>
      <c r="F1311" s="479">
        <v>200</v>
      </c>
    </row>
    <row r="1312" spans="3:6" x14ac:dyDescent="0.2">
      <c r="C1312" s="807">
        <v>44202</v>
      </c>
      <c r="D1312" s="331">
        <f t="shared" si="6"/>
        <v>349092</v>
      </c>
      <c r="E1312" s="478">
        <v>348892</v>
      </c>
      <c r="F1312" s="479">
        <v>200</v>
      </c>
    </row>
    <row r="1313" spans="3:6" x14ac:dyDescent="0.2">
      <c r="C1313" s="807">
        <v>44203</v>
      </c>
      <c r="D1313" s="331">
        <f t="shared" si="6"/>
        <v>409281.75</v>
      </c>
      <c r="E1313" s="478">
        <v>409081.75</v>
      </c>
      <c r="F1313" s="479">
        <v>200</v>
      </c>
    </row>
    <row r="1314" spans="3:6" x14ac:dyDescent="0.2">
      <c r="C1314" s="807">
        <v>44204</v>
      </c>
      <c r="D1314" s="331">
        <f t="shared" si="6"/>
        <v>408971.69</v>
      </c>
      <c r="E1314" s="478">
        <v>408771.69</v>
      </c>
      <c r="F1314" s="479">
        <v>200</v>
      </c>
    </row>
    <row r="1315" spans="3:6" x14ac:dyDescent="0.2">
      <c r="C1315" s="807">
        <v>44207</v>
      </c>
      <c r="D1315" s="331">
        <f t="shared" si="6"/>
        <v>408739.83</v>
      </c>
      <c r="E1315" s="478">
        <v>408539.83</v>
      </c>
      <c r="F1315" s="479">
        <v>200</v>
      </c>
    </row>
    <row r="1316" spans="3:6" x14ac:dyDescent="0.2">
      <c r="C1316" s="807">
        <v>44208</v>
      </c>
      <c r="D1316" s="331">
        <f t="shared" si="6"/>
        <v>401650.97</v>
      </c>
      <c r="E1316" s="478">
        <v>401450.97</v>
      </c>
      <c r="F1316" s="479">
        <v>200</v>
      </c>
    </row>
    <row r="1317" spans="3:6" x14ac:dyDescent="0.2">
      <c r="C1317" s="807">
        <v>44209</v>
      </c>
      <c r="D1317" s="331">
        <f t="shared" si="6"/>
        <v>413709.67</v>
      </c>
      <c r="E1317" s="478">
        <v>413509.67</v>
      </c>
      <c r="F1317" s="479">
        <v>200</v>
      </c>
    </row>
    <row r="1318" spans="3:6" x14ac:dyDescent="0.2">
      <c r="C1318" s="807">
        <v>44210</v>
      </c>
      <c r="D1318" s="331">
        <f t="shared" si="6"/>
        <v>412321.56</v>
      </c>
      <c r="E1318" s="478">
        <v>412121.56</v>
      </c>
      <c r="F1318" s="479">
        <v>200</v>
      </c>
    </row>
    <row r="1319" spans="3:6" x14ac:dyDescent="0.2">
      <c r="C1319" s="807">
        <v>44211</v>
      </c>
      <c r="D1319" s="331">
        <f t="shared" si="6"/>
        <v>412384.91</v>
      </c>
      <c r="E1319" s="478">
        <v>412184.91</v>
      </c>
      <c r="F1319" s="479">
        <v>200</v>
      </c>
    </row>
    <row r="1320" spans="3:6" x14ac:dyDescent="0.2">
      <c r="C1320" s="807">
        <v>44214</v>
      </c>
      <c r="D1320" s="331">
        <f t="shared" si="6"/>
        <v>412385</v>
      </c>
      <c r="E1320" s="478">
        <v>412185</v>
      </c>
      <c r="F1320" s="479">
        <v>200</v>
      </c>
    </row>
    <row r="1321" spans="3:6" x14ac:dyDescent="0.2">
      <c r="C1321" s="807">
        <v>44215</v>
      </c>
      <c r="D1321" s="331">
        <f t="shared" si="6"/>
        <v>417699.08</v>
      </c>
      <c r="E1321" s="478">
        <v>417499.08</v>
      </c>
      <c r="F1321" s="479">
        <v>200</v>
      </c>
    </row>
    <row r="1322" spans="3:6" x14ac:dyDescent="0.2">
      <c r="C1322" s="807">
        <v>44216</v>
      </c>
      <c r="D1322" s="364">
        <f t="shared" si="6"/>
        <v>417952.08</v>
      </c>
      <c r="E1322" s="478">
        <v>417752.08</v>
      </c>
      <c r="F1322" s="479">
        <v>200</v>
      </c>
    </row>
    <row r="1323" spans="3:6" x14ac:dyDescent="0.2">
      <c r="C1323" s="807">
        <v>44217</v>
      </c>
      <c r="D1323" s="331">
        <f t="shared" si="6"/>
        <v>402996.41</v>
      </c>
      <c r="E1323" s="478">
        <v>402796.41</v>
      </c>
      <c r="F1323" s="479">
        <v>200</v>
      </c>
    </row>
    <row r="1324" spans="3:6" x14ac:dyDescent="0.2">
      <c r="C1324" s="807">
        <v>44218</v>
      </c>
      <c r="D1324" s="331">
        <f t="shared" si="6"/>
        <v>402527.5</v>
      </c>
      <c r="E1324" s="478">
        <v>402327.5</v>
      </c>
      <c r="F1324" s="479">
        <v>200</v>
      </c>
    </row>
    <row r="1325" spans="3:6" x14ac:dyDescent="0.2">
      <c r="C1325" s="807">
        <v>44221</v>
      </c>
      <c r="D1325" s="331">
        <f t="shared" si="6"/>
        <v>402528</v>
      </c>
      <c r="E1325" s="478">
        <v>402328</v>
      </c>
      <c r="F1325" s="479">
        <v>200</v>
      </c>
    </row>
    <row r="1326" spans="3:6" x14ac:dyDescent="0.2">
      <c r="C1326" s="807">
        <v>44222</v>
      </c>
      <c r="D1326" s="331">
        <f t="shared" si="6"/>
        <v>399742.18</v>
      </c>
      <c r="E1326" s="478">
        <v>399542.18</v>
      </c>
      <c r="F1326" s="479">
        <v>200</v>
      </c>
    </row>
    <row r="1327" spans="3:6" x14ac:dyDescent="0.2">
      <c r="C1327" s="807">
        <v>44223</v>
      </c>
      <c r="D1327" s="331">
        <f t="shared" ref="D1327:D1390" si="7">E1327+F1327</f>
        <v>399886.18</v>
      </c>
      <c r="E1327" s="478">
        <v>399686.18</v>
      </c>
      <c r="F1327" s="479">
        <v>200</v>
      </c>
    </row>
    <row r="1328" spans="3:6" x14ac:dyDescent="0.2">
      <c r="C1328" s="807">
        <v>44224</v>
      </c>
      <c r="D1328" s="331">
        <f t="shared" si="7"/>
        <v>393628.47</v>
      </c>
      <c r="E1328" s="478">
        <v>393428.47</v>
      </c>
      <c r="F1328" s="479">
        <v>200</v>
      </c>
    </row>
    <row r="1329" spans="3:6" x14ac:dyDescent="0.2">
      <c r="C1329" s="807">
        <v>44225</v>
      </c>
      <c r="D1329" s="331">
        <f t="shared" si="7"/>
        <v>393628</v>
      </c>
      <c r="E1329" s="478">
        <v>393428</v>
      </c>
      <c r="F1329" s="479">
        <v>200</v>
      </c>
    </row>
    <row r="1330" spans="3:6" x14ac:dyDescent="0.2">
      <c r="C1330" s="807">
        <v>44228</v>
      </c>
      <c r="D1330" s="331">
        <f t="shared" si="7"/>
        <v>393628</v>
      </c>
      <c r="E1330" s="478">
        <v>393428</v>
      </c>
      <c r="F1330" s="479">
        <v>200</v>
      </c>
    </row>
    <row r="1331" spans="3:6" x14ac:dyDescent="0.2">
      <c r="C1331" s="807">
        <v>44229</v>
      </c>
      <c r="D1331" s="331">
        <f t="shared" si="7"/>
        <v>359326.4</v>
      </c>
      <c r="E1331" s="478">
        <v>359126.4</v>
      </c>
      <c r="F1331" s="479">
        <v>200</v>
      </c>
    </row>
    <row r="1332" spans="3:6" x14ac:dyDescent="0.2">
      <c r="C1332" s="807">
        <v>44230</v>
      </c>
      <c r="D1332" s="331">
        <f t="shared" si="7"/>
        <v>359521.7</v>
      </c>
      <c r="E1332" s="478">
        <v>359321.7</v>
      </c>
      <c r="F1332" s="479">
        <v>200</v>
      </c>
    </row>
    <row r="1333" spans="3:6" x14ac:dyDescent="0.2">
      <c r="C1333" s="807">
        <v>44231</v>
      </c>
      <c r="D1333" s="331">
        <f t="shared" si="7"/>
        <v>359522</v>
      </c>
      <c r="E1333" s="478">
        <v>359322</v>
      </c>
      <c r="F1333" s="479">
        <v>200</v>
      </c>
    </row>
    <row r="1334" spans="3:6" x14ac:dyDescent="0.2">
      <c r="C1334" s="807">
        <v>44232</v>
      </c>
      <c r="D1334" s="331">
        <f t="shared" si="7"/>
        <v>347055.28</v>
      </c>
      <c r="E1334" s="478">
        <v>346855.28</v>
      </c>
      <c r="F1334" s="479">
        <v>200</v>
      </c>
    </row>
    <row r="1335" spans="3:6" x14ac:dyDescent="0.2">
      <c r="C1335" s="807">
        <v>44235</v>
      </c>
      <c r="D1335" s="331">
        <f t="shared" si="7"/>
        <v>369629.13</v>
      </c>
      <c r="E1335" s="478">
        <v>369429.13</v>
      </c>
      <c r="F1335" s="479">
        <v>200</v>
      </c>
    </row>
    <row r="1336" spans="3:6" x14ac:dyDescent="0.2">
      <c r="C1336" s="807">
        <v>44236</v>
      </c>
      <c r="D1336" s="331">
        <f t="shared" si="7"/>
        <v>382278.77</v>
      </c>
      <c r="E1336" s="478">
        <v>382078.77</v>
      </c>
      <c r="F1336" s="479">
        <v>200</v>
      </c>
    </row>
    <row r="1337" spans="3:6" x14ac:dyDescent="0.2">
      <c r="C1337" s="807">
        <v>44237</v>
      </c>
      <c r="D1337" s="331">
        <f t="shared" si="7"/>
        <v>382279</v>
      </c>
      <c r="E1337" s="478">
        <v>382079</v>
      </c>
      <c r="F1337" s="479">
        <v>200</v>
      </c>
    </row>
    <row r="1338" spans="3:6" x14ac:dyDescent="0.2">
      <c r="C1338" s="807">
        <v>44238</v>
      </c>
      <c r="D1338" s="331">
        <f t="shared" si="7"/>
        <v>378310.6</v>
      </c>
      <c r="E1338" s="478">
        <v>378110.6</v>
      </c>
      <c r="F1338" s="479">
        <v>200</v>
      </c>
    </row>
    <row r="1339" spans="3:6" x14ac:dyDescent="0.2">
      <c r="C1339" s="807">
        <v>44239</v>
      </c>
      <c r="D1339" s="331">
        <f t="shared" si="7"/>
        <v>378369.91</v>
      </c>
      <c r="E1339" s="478">
        <v>378169.91</v>
      </c>
      <c r="F1339" s="479">
        <v>200</v>
      </c>
    </row>
    <row r="1340" spans="3:6" x14ac:dyDescent="0.2">
      <c r="C1340" s="807">
        <v>44242</v>
      </c>
      <c r="D1340" s="331">
        <f t="shared" si="7"/>
        <v>378370</v>
      </c>
      <c r="E1340" s="478">
        <v>378170</v>
      </c>
      <c r="F1340" s="479">
        <v>200</v>
      </c>
    </row>
    <row r="1341" spans="3:6" x14ac:dyDescent="0.2">
      <c r="C1341" s="807">
        <v>44243</v>
      </c>
      <c r="D1341" s="364">
        <f t="shared" si="7"/>
        <v>345442.81</v>
      </c>
      <c r="E1341" s="478">
        <v>345242.81</v>
      </c>
      <c r="F1341" s="479">
        <v>200</v>
      </c>
    </row>
    <row r="1342" spans="3:6" x14ac:dyDescent="0.2">
      <c r="C1342" s="807">
        <v>44244</v>
      </c>
      <c r="D1342" s="331">
        <f t="shared" si="7"/>
        <v>345443</v>
      </c>
      <c r="E1342" s="478">
        <v>345243</v>
      </c>
      <c r="F1342" s="479">
        <v>200</v>
      </c>
    </row>
    <row r="1343" spans="3:6" x14ac:dyDescent="0.2">
      <c r="C1343" s="807">
        <v>44245</v>
      </c>
      <c r="D1343" s="331">
        <f t="shared" si="7"/>
        <v>345443</v>
      </c>
      <c r="E1343" s="478">
        <v>345243</v>
      </c>
      <c r="F1343" s="479">
        <v>200</v>
      </c>
    </row>
    <row r="1344" spans="3:6" x14ac:dyDescent="0.2">
      <c r="C1344" s="807">
        <v>44246</v>
      </c>
      <c r="D1344" s="331">
        <f t="shared" si="7"/>
        <v>364859.97</v>
      </c>
      <c r="E1344" s="478">
        <v>364659.97</v>
      </c>
      <c r="F1344" s="479">
        <v>200</v>
      </c>
    </row>
    <row r="1345" spans="3:6" x14ac:dyDescent="0.2">
      <c r="C1345" s="807">
        <v>44249</v>
      </c>
      <c r="D1345" s="331">
        <f t="shared" si="7"/>
        <v>368452.97</v>
      </c>
      <c r="E1345" s="478">
        <v>368252.97</v>
      </c>
      <c r="F1345" s="479">
        <v>200</v>
      </c>
    </row>
    <row r="1346" spans="3:6" x14ac:dyDescent="0.2">
      <c r="C1346" s="807">
        <v>44250</v>
      </c>
      <c r="D1346" s="331">
        <f t="shared" si="7"/>
        <v>368407.65</v>
      </c>
      <c r="E1346" s="478">
        <v>368207.65</v>
      </c>
      <c r="F1346" s="479">
        <v>200</v>
      </c>
    </row>
    <row r="1347" spans="3:6" x14ac:dyDescent="0.2">
      <c r="C1347" s="807">
        <v>44251</v>
      </c>
      <c r="D1347" s="331">
        <f t="shared" si="7"/>
        <v>373249.01</v>
      </c>
      <c r="E1347" s="478">
        <v>373049.01</v>
      </c>
      <c r="F1347" s="479">
        <v>200</v>
      </c>
    </row>
    <row r="1348" spans="3:6" x14ac:dyDescent="0.2">
      <c r="C1348" s="807">
        <v>44252</v>
      </c>
      <c r="D1348" s="331">
        <f t="shared" si="7"/>
        <v>373249.01</v>
      </c>
      <c r="E1348" s="478">
        <v>373049.01</v>
      </c>
      <c r="F1348" s="479">
        <v>200</v>
      </c>
    </row>
    <row r="1349" spans="3:6" x14ac:dyDescent="0.2">
      <c r="C1349" s="807">
        <v>44253</v>
      </c>
      <c r="D1349" s="331">
        <f t="shared" si="7"/>
        <v>404359.4</v>
      </c>
      <c r="E1349" s="478">
        <v>404159.4</v>
      </c>
      <c r="F1349" s="479">
        <v>200</v>
      </c>
    </row>
    <row r="1350" spans="3:6" x14ac:dyDescent="0.2">
      <c r="C1350" s="807">
        <v>44256</v>
      </c>
      <c r="D1350" s="331">
        <f t="shared" si="7"/>
        <v>398860.85</v>
      </c>
      <c r="E1350" s="478">
        <v>398660.85</v>
      </c>
      <c r="F1350" s="479">
        <v>200</v>
      </c>
    </row>
    <row r="1351" spans="3:6" x14ac:dyDescent="0.2">
      <c r="C1351" s="807">
        <v>44257</v>
      </c>
      <c r="D1351" s="331">
        <f t="shared" si="7"/>
        <v>365079.52</v>
      </c>
      <c r="E1351" s="478">
        <v>364879.52</v>
      </c>
      <c r="F1351" s="479">
        <v>200</v>
      </c>
    </row>
    <row r="1352" spans="3:6" x14ac:dyDescent="0.2">
      <c r="C1352" s="807">
        <v>44258</v>
      </c>
      <c r="D1352" s="331">
        <f t="shared" si="7"/>
        <v>406124.9</v>
      </c>
      <c r="E1352" s="478">
        <v>405924.9</v>
      </c>
      <c r="F1352" s="479">
        <v>200</v>
      </c>
    </row>
    <row r="1353" spans="3:6" x14ac:dyDescent="0.2">
      <c r="C1353" s="807">
        <v>44259</v>
      </c>
      <c r="D1353" s="331">
        <f t="shared" si="7"/>
        <v>409953.76</v>
      </c>
      <c r="E1353" s="478">
        <v>409753.76</v>
      </c>
      <c r="F1353" s="479">
        <v>200</v>
      </c>
    </row>
    <row r="1354" spans="3:6" x14ac:dyDescent="0.2">
      <c r="C1354" s="807">
        <v>44260</v>
      </c>
      <c r="D1354" s="331">
        <f t="shared" si="7"/>
        <v>400983.29</v>
      </c>
      <c r="E1354" s="478">
        <v>400783.29</v>
      </c>
      <c r="F1354" s="479">
        <v>200</v>
      </c>
    </row>
    <row r="1355" spans="3:6" x14ac:dyDescent="0.2">
      <c r="C1355" s="807">
        <v>44263</v>
      </c>
      <c r="D1355" s="331">
        <f t="shared" si="7"/>
        <v>400983</v>
      </c>
      <c r="E1355" s="478">
        <v>400783</v>
      </c>
      <c r="F1355" s="479">
        <v>200</v>
      </c>
    </row>
    <row r="1356" spans="3:6" x14ac:dyDescent="0.2">
      <c r="C1356" s="807">
        <v>44264</v>
      </c>
      <c r="D1356" s="331">
        <f t="shared" si="7"/>
        <v>399908.16</v>
      </c>
      <c r="E1356" s="478">
        <v>399708.15999999997</v>
      </c>
      <c r="F1356" s="479">
        <v>200</v>
      </c>
    </row>
    <row r="1357" spans="3:6" x14ac:dyDescent="0.2">
      <c r="C1357" s="807">
        <v>44265</v>
      </c>
      <c r="D1357" s="331">
        <f t="shared" si="7"/>
        <v>399908</v>
      </c>
      <c r="E1357" s="478">
        <v>399708</v>
      </c>
      <c r="F1357" s="479">
        <v>200</v>
      </c>
    </row>
    <row r="1358" spans="3:6" x14ac:dyDescent="0.2">
      <c r="C1358" s="807">
        <v>44266</v>
      </c>
      <c r="D1358" s="331">
        <f t="shared" si="7"/>
        <v>399908</v>
      </c>
      <c r="E1358" s="478">
        <v>399708</v>
      </c>
      <c r="F1358" s="479">
        <v>200</v>
      </c>
    </row>
    <row r="1359" spans="3:6" x14ac:dyDescent="0.2">
      <c r="C1359" s="807">
        <v>44267</v>
      </c>
      <c r="D1359" s="331">
        <f t="shared" si="7"/>
        <v>399766.22</v>
      </c>
      <c r="E1359" s="478">
        <v>399566.22</v>
      </c>
      <c r="F1359" s="479">
        <v>200</v>
      </c>
    </row>
    <row r="1360" spans="3:6" x14ac:dyDescent="0.2">
      <c r="C1360" s="807">
        <v>44270</v>
      </c>
      <c r="D1360" s="331">
        <f t="shared" si="7"/>
        <v>366689.23</v>
      </c>
      <c r="E1360" s="478">
        <v>366489.23</v>
      </c>
      <c r="F1360" s="479">
        <v>200</v>
      </c>
    </row>
    <row r="1361" spans="3:6" x14ac:dyDescent="0.2">
      <c r="C1361" s="807">
        <v>44271</v>
      </c>
      <c r="D1361" s="331">
        <f t="shared" si="7"/>
        <v>392136.38</v>
      </c>
      <c r="E1361" s="478">
        <v>391936.38</v>
      </c>
      <c r="F1361" s="479">
        <v>200</v>
      </c>
    </row>
    <row r="1362" spans="3:6" x14ac:dyDescent="0.2">
      <c r="C1362" s="807">
        <v>44272</v>
      </c>
      <c r="D1362" s="331">
        <f t="shared" si="7"/>
        <v>414771.89</v>
      </c>
      <c r="E1362" s="478">
        <v>414571.89</v>
      </c>
      <c r="F1362" s="479">
        <v>200</v>
      </c>
    </row>
    <row r="1363" spans="3:6" x14ac:dyDescent="0.2">
      <c r="C1363" s="807">
        <v>44273</v>
      </c>
      <c r="D1363" s="331">
        <f t="shared" si="7"/>
        <v>442093.39</v>
      </c>
      <c r="E1363" s="478">
        <v>441893.39</v>
      </c>
      <c r="F1363" s="479">
        <v>200</v>
      </c>
    </row>
    <row r="1364" spans="3:6" x14ac:dyDescent="0.2">
      <c r="C1364" s="807">
        <v>44274</v>
      </c>
      <c r="D1364" s="331">
        <f t="shared" si="7"/>
        <v>439966.74</v>
      </c>
      <c r="E1364" s="478">
        <v>439766.74</v>
      </c>
      <c r="F1364" s="479">
        <v>200</v>
      </c>
    </row>
    <row r="1365" spans="3:6" x14ac:dyDescent="0.2">
      <c r="C1365" s="807">
        <v>44277</v>
      </c>
      <c r="D1365" s="331">
        <f t="shared" si="7"/>
        <v>439966.74</v>
      </c>
      <c r="E1365" s="478">
        <v>439766.74</v>
      </c>
      <c r="F1365" s="479">
        <v>200</v>
      </c>
    </row>
    <row r="1366" spans="3:6" x14ac:dyDescent="0.2">
      <c r="C1366" s="807">
        <v>44278</v>
      </c>
      <c r="D1366" s="331">
        <f t="shared" si="7"/>
        <v>439966.74</v>
      </c>
      <c r="E1366" s="478">
        <v>439766.74</v>
      </c>
      <c r="F1366" s="479">
        <v>200</v>
      </c>
    </row>
    <row r="1367" spans="3:6" x14ac:dyDescent="0.2">
      <c r="C1367" s="807">
        <v>44279</v>
      </c>
      <c r="D1367" s="331">
        <f t="shared" si="7"/>
        <v>440251.74</v>
      </c>
      <c r="E1367" s="478">
        <v>440051.74</v>
      </c>
      <c r="F1367" s="479">
        <v>200</v>
      </c>
    </row>
    <row r="1368" spans="3:6" x14ac:dyDescent="0.2">
      <c r="C1368" s="807">
        <v>44280</v>
      </c>
      <c r="D1368" s="331">
        <f t="shared" si="7"/>
        <v>440252</v>
      </c>
      <c r="E1368" s="478">
        <v>440052</v>
      </c>
      <c r="F1368" s="479">
        <v>200</v>
      </c>
    </row>
    <row r="1369" spans="3:6" x14ac:dyDescent="0.2">
      <c r="C1369" s="807">
        <v>44281</v>
      </c>
      <c r="D1369" s="331">
        <f t="shared" si="7"/>
        <v>424641.64</v>
      </c>
      <c r="E1369" s="478">
        <v>424441.64</v>
      </c>
      <c r="F1369" s="479">
        <v>200</v>
      </c>
    </row>
    <row r="1370" spans="3:6" x14ac:dyDescent="0.2">
      <c r="C1370" s="807">
        <v>44284</v>
      </c>
      <c r="D1370" s="331">
        <f t="shared" si="7"/>
        <v>527059.86</v>
      </c>
      <c r="E1370" s="478">
        <v>526859.86</v>
      </c>
      <c r="F1370" s="479">
        <v>200</v>
      </c>
    </row>
    <row r="1371" spans="3:6" x14ac:dyDescent="0.2">
      <c r="C1371" s="807">
        <v>44285</v>
      </c>
      <c r="D1371" s="331">
        <f t="shared" si="7"/>
        <v>552226.89</v>
      </c>
      <c r="E1371" s="478">
        <v>552026.89</v>
      </c>
      <c r="F1371" s="479">
        <v>200</v>
      </c>
    </row>
    <row r="1372" spans="3:6" x14ac:dyDescent="0.2">
      <c r="C1372" s="807">
        <v>44286</v>
      </c>
      <c r="D1372" s="331">
        <f t="shared" si="7"/>
        <v>552439.89</v>
      </c>
      <c r="E1372" s="478">
        <v>552239.89</v>
      </c>
      <c r="F1372" s="479">
        <v>200</v>
      </c>
    </row>
    <row r="1373" spans="3:6" x14ac:dyDescent="0.2">
      <c r="C1373" s="807">
        <v>44287</v>
      </c>
      <c r="D1373" s="331">
        <f t="shared" si="7"/>
        <v>552439.89</v>
      </c>
      <c r="E1373" s="478">
        <v>552239.89</v>
      </c>
      <c r="F1373" s="479">
        <v>200</v>
      </c>
    </row>
    <row r="1374" spans="3:6" x14ac:dyDescent="0.2">
      <c r="C1374" s="807">
        <v>44288</v>
      </c>
      <c r="D1374" s="331">
        <f t="shared" si="7"/>
        <v>552129.82999999996</v>
      </c>
      <c r="E1374" s="478">
        <v>551929.82999999996</v>
      </c>
      <c r="F1374" s="479">
        <v>200</v>
      </c>
    </row>
    <row r="1375" spans="3:6" x14ac:dyDescent="0.2">
      <c r="C1375" s="807">
        <v>44291</v>
      </c>
      <c r="D1375" s="331">
        <f t="shared" si="7"/>
        <v>552130</v>
      </c>
      <c r="E1375" s="478">
        <v>551930</v>
      </c>
      <c r="F1375" s="479">
        <v>200</v>
      </c>
    </row>
    <row r="1376" spans="3:6" x14ac:dyDescent="0.2">
      <c r="C1376" s="807">
        <v>44292</v>
      </c>
      <c r="D1376" s="331">
        <f t="shared" si="7"/>
        <v>552377.82999999996</v>
      </c>
      <c r="E1376" s="478">
        <v>552177.82999999996</v>
      </c>
      <c r="F1376" s="479">
        <v>200</v>
      </c>
    </row>
    <row r="1377" spans="3:6" x14ac:dyDescent="0.2">
      <c r="C1377" s="807">
        <v>44293</v>
      </c>
      <c r="D1377" s="331">
        <f t="shared" si="7"/>
        <v>552378</v>
      </c>
      <c r="E1377" s="478">
        <v>552178</v>
      </c>
      <c r="F1377" s="479">
        <v>200</v>
      </c>
    </row>
    <row r="1378" spans="3:6" x14ac:dyDescent="0.2">
      <c r="C1378" s="807">
        <v>44294</v>
      </c>
      <c r="D1378" s="364">
        <f t="shared" si="7"/>
        <v>553005.37</v>
      </c>
      <c r="E1378" s="478">
        <v>552805.37</v>
      </c>
      <c r="F1378" s="479">
        <v>200</v>
      </c>
    </row>
    <row r="1379" spans="3:6" x14ac:dyDescent="0.2">
      <c r="C1379" s="807">
        <v>44295</v>
      </c>
      <c r="D1379" s="331">
        <f t="shared" si="7"/>
        <v>553005</v>
      </c>
      <c r="E1379" s="478">
        <v>552805</v>
      </c>
      <c r="F1379" s="479">
        <v>200</v>
      </c>
    </row>
    <row r="1380" spans="3:6" x14ac:dyDescent="0.2">
      <c r="C1380" s="807">
        <v>44298</v>
      </c>
      <c r="D1380" s="331">
        <f t="shared" si="7"/>
        <v>536104.62</v>
      </c>
      <c r="E1380" s="478">
        <v>535904.62</v>
      </c>
      <c r="F1380" s="479">
        <v>200</v>
      </c>
    </row>
    <row r="1381" spans="3:6" x14ac:dyDescent="0.2">
      <c r="C1381" s="807">
        <v>44299</v>
      </c>
      <c r="D1381" s="331">
        <f t="shared" si="7"/>
        <v>503475.62</v>
      </c>
      <c r="E1381" s="478">
        <v>503275.62</v>
      </c>
      <c r="F1381" s="479">
        <v>200</v>
      </c>
    </row>
    <row r="1382" spans="3:6" x14ac:dyDescent="0.2">
      <c r="C1382" s="807">
        <v>44300</v>
      </c>
      <c r="D1382" s="331">
        <f t="shared" si="7"/>
        <v>515272.72</v>
      </c>
      <c r="E1382" s="478">
        <v>515072.72</v>
      </c>
      <c r="F1382" s="479">
        <v>200</v>
      </c>
    </row>
    <row r="1383" spans="3:6" x14ac:dyDescent="0.2">
      <c r="C1383" s="807">
        <v>44301</v>
      </c>
      <c r="D1383" s="331">
        <f t="shared" si="7"/>
        <v>519939.48</v>
      </c>
      <c r="E1383" s="478">
        <v>519739.48</v>
      </c>
      <c r="F1383" s="479">
        <v>200</v>
      </c>
    </row>
    <row r="1384" spans="3:6" x14ac:dyDescent="0.2">
      <c r="C1384" s="807">
        <v>44302</v>
      </c>
      <c r="D1384" s="331">
        <f t="shared" si="7"/>
        <v>518569.61</v>
      </c>
      <c r="E1384" s="478">
        <v>518369.61</v>
      </c>
      <c r="F1384" s="479">
        <v>200</v>
      </c>
    </row>
    <row r="1385" spans="3:6" x14ac:dyDescent="0.2">
      <c r="C1385" s="807">
        <v>44305</v>
      </c>
      <c r="D1385" s="331">
        <f t="shared" si="7"/>
        <v>518755.61</v>
      </c>
      <c r="E1385" s="478">
        <v>518555.61</v>
      </c>
      <c r="F1385" s="479">
        <v>200</v>
      </c>
    </row>
    <row r="1386" spans="3:6" x14ac:dyDescent="0.2">
      <c r="C1386" s="807">
        <v>44306</v>
      </c>
      <c r="D1386" s="331">
        <f t="shared" si="7"/>
        <v>518755.61</v>
      </c>
      <c r="E1386" s="478">
        <v>518555.61</v>
      </c>
      <c r="F1386" s="479">
        <v>200</v>
      </c>
    </row>
    <row r="1387" spans="3:6" x14ac:dyDescent="0.2">
      <c r="C1387" s="807">
        <v>44307</v>
      </c>
      <c r="D1387" s="331">
        <f t="shared" si="7"/>
        <v>518755.61</v>
      </c>
      <c r="E1387" s="478">
        <v>518555.61</v>
      </c>
      <c r="F1387" s="479">
        <v>200</v>
      </c>
    </row>
    <row r="1388" spans="3:6" x14ac:dyDescent="0.2">
      <c r="C1388" s="807">
        <v>44308</v>
      </c>
      <c r="D1388" s="331">
        <f t="shared" si="7"/>
        <v>507528.36</v>
      </c>
      <c r="E1388" s="478">
        <v>507328.36</v>
      </c>
      <c r="F1388" s="479">
        <v>200</v>
      </c>
    </row>
    <row r="1389" spans="3:6" x14ac:dyDescent="0.2">
      <c r="C1389" s="807">
        <v>44309</v>
      </c>
      <c r="D1389" s="331">
        <f t="shared" si="7"/>
        <v>506769.51</v>
      </c>
      <c r="E1389" s="478">
        <v>506569.51</v>
      </c>
      <c r="F1389" s="479">
        <v>200</v>
      </c>
    </row>
    <row r="1390" spans="3:6" x14ac:dyDescent="0.2">
      <c r="C1390" s="807">
        <v>44312</v>
      </c>
      <c r="D1390" s="331">
        <f t="shared" si="7"/>
        <v>506770</v>
      </c>
      <c r="E1390" s="478">
        <v>506570</v>
      </c>
      <c r="F1390" s="479">
        <v>200</v>
      </c>
    </row>
    <row r="1391" spans="3:6" x14ac:dyDescent="0.2">
      <c r="C1391" s="807">
        <v>44313</v>
      </c>
      <c r="D1391" s="331">
        <f t="shared" ref="D1391:D1454" si="8">E1391+F1391</f>
        <v>473061.43</v>
      </c>
      <c r="E1391" s="478">
        <v>472861.43</v>
      </c>
      <c r="F1391" s="479">
        <v>200</v>
      </c>
    </row>
    <row r="1392" spans="3:6" x14ac:dyDescent="0.2">
      <c r="C1392" s="807">
        <v>44314</v>
      </c>
      <c r="D1392" s="331">
        <f t="shared" si="8"/>
        <v>479261.62</v>
      </c>
      <c r="E1392" s="478">
        <v>479061.62</v>
      </c>
      <c r="F1392" s="479">
        <v>200</v>
      </c>
    </row>
    <row r="1393" spans="3:6" x14ac:dyDescent="0.2">
      <c r="C1393" s="807">
        <v>44315</v>
      </c>
      <c r="D1393" s="331">
        <f t="shared" si="8"/>
        <v>478222.46</v>
      </c>
      <c r="E1393" s="478">
        <v>478022.46</v>
      </c>
      <c r="F1393" s="479">
        <v>200</v>
      </c>
    </row>
    <row r="1394" spans="3:6" x14ac:dyDescent="0.2">
      <c r="C1394" s="807">
        <v>44316</v>
      </c>
      <c r="D1394" s="331">
        <f t="shared" si="8"/>
        <v>477922.01</v>
      </c>
      <c r="E1394" s="478">
        <v>477722.01</v>
      </c>
      <c r="F1394" s="479">
        <v>200</v>
      </c>
    </row>
    <row r="1395" spans="3:6" x14ac:dyDescent="0.2">
      <c r="C1395" s="807">
        <v>44319</v>
      </c>
      <c r="D1395" s="331">
        <f t="shared" si="8"/>
        <v>477922.01</v>
      </c>
      <c r="E1395" s="478">
        <v>477722.01</v>
      </c>
      <c r="F1395" s="479">
        <v>200</v>
      </c>
    </row>
    <row r="1396" spans="3:6" x14ac:dyDescent="0.2">
      <c r="C1396" s="807">
        <v>44320</v>
      </c>
      <c r="D1396" s="331">
        <f t="shared" si="8"/>
        <v>477922.01</v>
      </c>
      <c r="E1396" s="478">
        <v>477722.01</v>
      </c>
      <c r="F1396" s="479">
        <v>200</v>
      </c>
    </row>
    <row r="1397" spans="3:6" x14ac:dyDescent="0.2">
      <c r="C1397" s="807">
        <v>44321</v>
      </c>
      <c r="D1397" s="331">
        <f t="shared" si="8"/>
        <v>477922.01</v>
      </c>
      <c r="E1397" s="478">
        <v>477722.01</v>
      </c>
      <c r="F1397" s="479">
        <v>200</v>
      </c>
    </row>
    <row r="1398" spans="3:6" x14ac:dyDescent="0.2">
      <c r="C1398" s="807">
        <v>44322</v>
      </c>
      <c r="D1398" s="331">
        <f t="shared" si="8"/>
        <v>477922.01</v>
      </c>
      <c r="E1398" s="478">
        <v>477722.01</v>
      </c>
      <c r="F1398" s="479">
        <v>200</v>
      </c>
    </row>
    <row r="1399" spans="3:6" x14ac:dyDescent="0.2">
      <c r="C1399" s="807">
        <v>44323</v>
      </c>
      <c r="D1399" s="331">
        <f t="shared" si="8"/>
        <v>463576.89</v>
      </c>
      <c r="E1399" s="478">
        <v>463376.89</v>
      </c>
      <c r="F1399" s="479">
        <v>200</v>
      </c>
    </row>
    <row r="1400" spans="3:6" x14ac:dyDescent="0.2">
      <c r="C1400" s="807">
        <v>44326</v>
      </c>
      <c r="D1400" s="331">
        <f t="shared" si="8"/>
        <v>473954.09</v>
      </c>
      <c r="E1400" s="478">
        <v>473754.09</v>
      </c>
      <c r="F1400" s="479">
        <v>200</v>
      </c>
    </row>
    <row r="1401" spans="3:6" x14ac:dyDescent="0.2">
      <c r="C1401" s="807">
        <v>44327</v>
      </c>
      <c r="D1401" s="331">
        <f t="shared" si="8"/>
        <v>520561.7</v>
      </c>
      <c r="E1401" s="478">
        <v>520361.7</v>
      </c>
      <c r="F1401" s="479">
        <v>200</v>
      </c>
    </row>
    <row r="1402" spans="3:6" x14ac:dyDescent="0.2">
      <c r="C1402" s="807">
        <v>44328</v>
      </c>
      <c r="D1402" s="331">
        <f t="shared" si="8"/>
        <v>520562</v>
      </c>
      <c r="E1402" s="478">
        <v>520362</v>
      </c>
      <c r="F1402" s="479">
        <v>200</v>
      </c>
    </row>
    <row r="1403" spans="3:6" x14ac:dyDescent="0.2">
      <c r="C1403" s="807">
        <v>44329</v>
      </c>
      <c r="D1403" s="331">
        <f t="shared" si="8"/>
        <v>525995.02</v>
      </c>
      <c r="E1403" s="478">
        <v>525795.02</v>
      </c>
      <c r="F1403" s="479">
        <v>200</v>
      </c>
    </row>
    <row r="1404" spans="3:6" x14ac:dyDescent="0.2">
      <c r="C1404" s="807">
        <v>44330</v>
      </c>
      <c r="D1404" s="331">
        <f t="shared" si="8"/>
        <v>521947.98</v>
      </c>
      <c r="E1404" s="478">
        <v>521747.98</v>
      </c>
      <c r="F1404" s="479">
        <v>200</v>
      </c>
    </row>
    <row r="1405" spans="3:6" x14ac:dyDescent="0.2">
      <c r="C1405" s="807">
        <v>44333</v>
      </c>
      <c r="D1405" s="331">
        <f t="shared" si="8"/>
        <v>521948</v>
      </c>
      <c r="E1405" s="478">
        <v>521748</v>
      </c>
      <c r="F1405" s="479">
        <v>200</v>
      </c>
    </row>
    <row r="1406" spans="3:6" x14ac:dyDescent="0.2">
      <c r="C1406" s="807">
        <v>44334</v>
      </c>
      <c r="D1406" s="331">
        <f t="shared" si="8"/>
        <v>521948</v>
      </c>
      <c r="E1406" s="478">
        <v>521748</v>
      </c>
      <c r="F1406" s="479">
        <v>200</v>
      </c>
    </row>
    <row r="1407" spans="3:6" x14ac:dyDescent="0.2">
      <c r="C1407" s="807">
        <v>44335</v>
      </c>
      <c r="D1407" s="331">
        <f t="shared" si="8"/>
        <v>522186.98</v>
      </c>
      <c r="E1407" s="478">
        <v>521986.98</v>
      </c>
      <c r="F1407" s="479">
        <v>200</v>
      </c>
    </row>
    <row r="1408" spans="3:6" x14ac:dyDescent="0.2">
      <c r="C1408" s="807">
        <v>44336</v>
      </c>
      <c r="D1408" s="331">
        <f t="shared" si="8"/>
        <v>518466.54</v>
      </c>
      <c r="E1408" s="478">
        <v>518266.54</v>
      </c>
      <c r="F1408" s="479">
        <v>200</v>
      </c>
    </row>
    <row r="1409" spans="3:6" x14ac:dyDescent="0.2">
      <c r="C1409" s="807">
        <v>44337</v>
      </c>
      <c r="D1409" s="331">
        <f t="shared" si="8"/>
        <v>518467</v>
      </c>
      <c r="E1409" s="478">
        <v>518267</v>
      </c>
      <c r="F1409" s="479">
        <v>200</v>
      </c>
    </row>
    <row r="1410" spans="3:6" x14ac:dyDescent="0.2">
      <c r="C1410" s="807">
        <v>44340</v>
      </c>
      <c r="D1410" s="331">
        <f t="shared" si="8"/>
        <v>486541.35</v>
      </c>
      <c r="E1410" s="478">
        <v>486341.35</v>
      </c>
      <c r="F1410" s="479">
        <v>200</v>
      </c>
    </row>
    <row r="1411" spans="3:6" x14ac:dyDescent="0.2">
      <c r="C1411" s="807">
        <v>44341</v>
      </c>
      <c r="D1411" s="331">
        <f t="shared" si="8"/>
        <v>486541</v>
      </c>
      <c r="E1411" s="478">
        <v>486341</v>
      </c>
      <c r="F1411" s="479">
        <v>200</v>
      </c>
    </row>
    <row r="1412" spans="3:6" x14ac:dyDescent="0.2">
      <c r="C1412" s="807">
        <v>44342</v>
      </c>
      <c r="D1412" s="331">
        <f t="shared" si="8"/>
        <v>512462.15</v>
      </c>
      <c r="E1412" s="478">
        <v>512262.15</v>
      </c>
      <c r="F1412" s="479">
        <v>200</v>
      </c>
    </row>
    <row r="1413" spans="3:6" x14ac:dyDescent="0.2">
      <c r="C1413" s="807">
        <v>44343</v>
      </c>
      <c r="D1413" s="331">
        <f t="shared" si="8"/>
        <v>512462</v>
      </c>
      <c r="E1413" s="478">
        <v>512262</v>
      </c>
      <c r="F1413" s="479">
        <v>200</v>
      </c>
    </row>
    <row r="1414" spans="3:6" x14ac:dyDescent="0.2">
      <c r="C1414" s="807">
        <v>44344</v>
      </c>
      <c r="D1414" s="331">
        <f t="shared" si="8"/>
        <v>513609.04</v>
      </c>
      <c r="E1414" s="478">
        <v>513409.04</v>
      </c>
      <c r="F1414" s="479">
        <v>200</v>
      </c>
    </row>
    <row r="1415" spans="3:6" x14ac:dyDescent="0.2">
      <c r="C1415" s="807">
        <v>44347</v>
      </c>
      <c r="D1415" s="331">
        <f t="shared" si="8"/>
        <v>513609</v>
      </c>
      <c r="E1415" s="478">
        <v>513409</v>
      </c>
      <c r="F1415" s="479">
        <v>200</v>
      </c>
    </row>
    <row r="1416" spans="3:6" x14ac:dyDescent="0.2">
      <c r="C1416" s="807">
        <v>44348</v>
      </c>
      <c r="D1416" s="331">
        <f t="shared" si="8"/>
        <v>513579.05</v>
      </c>
      <c r="E1416" s="478">
        <v>513379.05</v>
      </c>
      <c r="F1416" s="479">
        <v>200</v>
      </c>
    </row>
    <row r="1417" spans="3:6" x14ac:dyDescent="0.2">
      <c r="C1417" s="807">
        <v>44349</v>
      </c>
      <c r="D1417" s="331">
        <f t="shared" si="8"/>
        <v>514399.44</v>
      </c>
      <c r="E1417" s="478">
        <v>514199.44</v>
      </c>
      <c r="F1417" s="479">
        <v>200</v>
      </c>
    </row>
    <row r="1418" spans="3:6" x14ac:dyDescent="0.2">
      <c r="C1418" s="807">
        <v>44350</v>
      </c>
      <c r="D1418" s="331">
        <f t="shared" si="8"/>
        <v>501741.57</v>
      </c>
      <c r="E1418" s="478">
        <v>501541.57</v>
      </c>
      <c r="F1418" s="479">
        <v>200</v>
      </c>
    </row>
    <row r="1419" spans="3:6" x14ac:dyDescent="0.2">
      <c r="C1419" s="807">
        <v>44351</v>
      </c>
      <c r="D1419" s="331">
        <f t="shared" si="8"/>
        <v>501742</v>
      </c>
      <c r="E1419" s="478">
        <v>501542</v>
      </c>
      <c r="F1419" s="479">
        <v>200</v>
      </c>
    </row>
    <row r="1420" spans="3:6" x14ac:dyDescent="0.2">
      <c r="C1420" s="807">
        <v>44354</v>
      </c>
      <c r="D1420" s="331">
        <f t="shared" si="8"/>
        <v>502500.51</v>
      </c>
      <c r="E1420" s="478">
        <v>502300.51</v>
      </c>
      <c r="F1420" s="479">
        <v>200</v>
      </c>
    </row>
    <row r="1421" spans="3:6" x14ac:dyDescent="0.2">
      <c r="C1421" s="807">
        <v>44355</v>
      </c>
      <c r="D1421" s="331">
        <f t="shared" si="8"/>
        <v>502953.51</v>
      </c>
      <c r="E1421" s="478">
        <v>502753.51</v>
      </c>
      <c r="F1421" s="479">
        <v>200</v>
      </c>
    </row>
    <row r="1422" spans="3:6" x14ac:dyDescent="0.2">
      <c r="C1422" s="807">
        <v>44356</v>
      </c>
      <c r="D1422" s="331">
        <f t="shared" si="8"/>
        <v>502954</v>
      </c>
      <c r="E1422" s="478">
        <v>502754</v>
      </c>
      <c r="F1422" s="479">
        <v>200</v>
      </c>
    </row>
    <row r="1423" spans="3:6" x14ac:dyDescent="0.2">
      <c r="C1423" s="807">
        <v>44357</v>
      </c>
      <c r="D1423" s="331">
        <f t="shared" si="8"/>
        <v>483592.4</v>
      </c>
      <c r="E1423" s="478">
        <v>483392.4</v>
      </c>
      <c r="F1423" s="479">
        <v>200</v>
      </c>
    </row>
    <row r="1424" spans="3:6" x14ac:dyDescent="0.2">
      <c r="C1424" s="807">
        <v>44358</v>
      </c>
      <c r="D1424" s="331">
        <f t="shared" si="8"/>
        <v>483291.95</v>
      </c>
      <c r="E1424" s="478">
        <v>483091.95</v>
      </c>
      <c r="F1424" s="479">
        <v>200</v>
      </c>
    </row>
    <row r="1425" spans="3:6" x14ac:dyDescent="0.2">
      <c r="C1425" s="807">
        <v>44361</v>
      </c>
      <c r="D1425" s="331">
        <f t="shared" si="8"/>
        <v>495768.59</v>
      </c>
      <c r="E1425" s="478">
        <v>495568.59</v>
      </c>
      <c r="F1425" s="479">
        <v>200</v>
      </c>
    </row>
    <row r="1426" spans="3:6" x14ac:dyDescent="0.2">
      <c r="C1426" s="807">
        <v>44362</v>
      </c>
      <c r="D1426" s="331">
        <f t="shared" si="8"/>
        <v>495822.72</v>
      </c>
      <c r="E1426" s="478">
        <v>495622.72</v>
      </c>
      <c r="F1426" s="479">
        <v>200</v>
      </c>
    </row>
    <row r="1427" spans="3:6" x14ac:dyDescent="0.2">
      <c r="C1427" s="807">
        <v>44363</v>
      </c>
      <c r="D1427" s="331">
        <f t="shared" si="8"/>
        <v>520028.1</v>
      </c>
      <c r="E1427" s="478">
        <v>519828.1</v>
      </c>
      <c r="F1427" s="479">
        <v>200</v>
      </c>
    </row>
    <row r="1428" spans="3:6" x14ac:dyDescent="0.2">
      <c r="C1428" s="807">
        <v>44364</v>
      </c>
      <c r="D1428" s="331">
        <f t="shared" si="8"/>
        <v>517161.8</v>
      </c>
      <c r="E1428" s="478">
        <v>516961.8</v>
      </c>
      <c r="F1428" s="479">
        <v>200</v>
      </c>
    </row>
    <row r="1429" spans="3:6" x14ac:dyDescent="0.2">
      <c r="C1429" s="807">
        <v>44365</v>
      </c>
      <c r="D1429" s="331">
        <f t="shared" si="8"/>
        <v>518094.91</v>
      </c>
      <c r="E1429" s="478">
        <v>517894.91</v>
      </c>
      <c r="F1429" s="479">
        <v>200</v>
      </c>
    </row>
    <row r="1430" spans="3:6" x14ac:dyDescent="0.2">
      <c r="C1430" s="807">
        <v>44368</v>
      </c>
      <c r="D1430" s="331">
        <f t="shared" si="8"/>
        <v>484042.38</v>
      </c>
      <c r="E1430" s="478">
        <v>483842.38</v>
      </c>
      <c r="F1430" s="479">
        <v>200</v>
      </c>
    </row>
    <row r="1431" spans="3:6" x14ac:dyDescent="0.2">
      <c r="C1431" s="807">
        <v>44369</v>
      </c>
      <c r="D1431" s="331">
        <f t="shared" si="8"/>
        <v>497746.99</v>
      </c>
      <c r="E1431" s="478">
        <v>497546.99</v>
      </c>
      <c r="F1431" s="479">
        <v>200</v>
      </c>
    </row>
    <row r="1432" spans="3:6" x14ac:dyDescent="0.2">
      <c r="C1432" s="807">
        <v>44370</v>
      </c>
      <c r="D1432" s="331">
        <f t="shared" si="8"/>
        <v>497747</v>
      </c>
      <c r="E1432" s="478">
        <v>497547</v>
      </c>
      <c r="F1432" s="479">
        <v>200</v>
      </c>
    </row>
    <row r="1433" spans="3:6" x14ac:dyDescent="0.2">
      <c r="C1433" s="807">
        <v>44371</v>
      </c>
      <c r="D1433" s="331">
        <f t="shared" si="8"/>
        <v>495381.8</v>
      </c>
      <c r="E1433" s="478">
        <v>495181.8</v>
      </c>
      <c r="F1433" s="479">
        <v>200</v>
      </c>
    </row>
    <row r="1434" spans="3:6" x14ac:dyDescent="0.2">
      <c r="C1434" s="807">
        <v>44372</v>
      </c>
      <c r="D1434" s="331">
        <f t="shared" si="8"/>
        <v>495081.35</v>
      </c>
      <c r="E1434" s="478">
        <v>494881.35</v>
      </c>
      <c r="F1434" s="479">
        <v>200</v>
      </c>
    </row>
    <row r="1435" spans="3:6" x14ac:dyDescent="0.2">
      <c r="C1435" s="807">
        <v>44375</v>
      </c>
      <c r="D1435" s="331">
        <f t="shared" si="8"/>
        <v>495055.65</v>
      </c>
      <c r="E1435" s="478">
        <v>494855.65</v>
      </c>
      <c r="F1435" s="479">
        <v>200</v>
      </c>
    </row>
    <row r="1436" spans="3:6" x14ac:dyDescent="0.2">
      <c r="C1436" s="807">
        <v>44376</v>
      </c>
      <c r="D1436" s="331">
        <f t="shared" si="8"/>
        <v>495056</v>
      </c>
      <c r="E1436" s="478">
        <v>494856</v>
      </c>
      <c r="F1436" s="479">
        <v>200</v>
      </c>
    </row>
    <row r="1437" spans="3:6" x14ac:dyDescent="0.2">
      <c r="C1437" s="807">
        <v>44377</v>
      </c>
      <c r="D1437" s="331">
        <f t="shared" si="8"/>
        <v>497588.94</v>
      </c>
      <c r="E1437" s="478">
        <v>497388.94</v>
      </c>
      <c r="F1437" s="479">
        <v>200</v>
      </c>
    </row>
    <row r="1438" spans="3:6" x14ac:dyDescent="0.2">
      <c r="C1438" s="807">
        <v>44378</v>
      </c>
      <c r="D1438" s="331">
        <f t="shared" si="8"/>
        <v>488300.76</v>
      </c>
      <c r="E1438" s="478">
        <v>488100.76</v>
      </c>
      <c r="F1438" s="479">
        <v>200</v>
      </c>
    </row>
    <row r="1439" spans="3:6" x14ac:dyDescent="0.2">
      <c r="C1439" s="807">
        <v>44379</v>
      </c>
      <c r="D1439" s="331">
        <f t="shared" si="8"/>
        <v>488301</v>
      </c>
      <c r="E1439" s="478">
        <v>488101</v>
      </c>
      <c r="F1439" s="479">
        <v>200</v>
      </c>
    </row>
    <row r="1440" spans="3:6" x14ac:dyDescent="0.2">
      <c r="C1440" s="807">
        <v>44382</v>
      </c>
      <c r="D1440" s="331">
        <f t="shared" si="8"/>
        <v>488301</v>
      </c>
      <c r="E1440" s="478">
        <v>488101</v>
      </c>
      <c r="F1440" s="479">
        <v>200</v>
      </c>
    </row>
    <row r="1441" spans="3:6" x14ac:dyDescent="0.2">
      <c r="C1441" s="807">
        <v>44383</v>
      </c>
      <c r="D1441" s="331">
        <f t="shared" si="8"/>
        <v>453460.75</v>
      </c>
      <c r="E1441" s="478">
        <v>453260.75</v>
      </c>
      <c r="F1441" s="479">
        <v>200</v>
      </c>
    </row>
    <row r="1442" spans="3:6" x14ac:dyDescent="0.2">
      <c r="C1442" s="807">
        <v>44384</v>
      </c>
      <c r="D1442" s="331">
        <f t="shared" si="8"/>
        <v>453461</v>
      </c>
      <c r="E1442" s="478">
        <v>453261</v>
      </c>
      <c r="F1442" s="479">
        <v>200</v>
      </c>
    </row>
    <row r="1443" spans="3:6" x14ac:dyDescent="0.2">
      <c r="C1443" s="807">
        <v>44385</v>
      </c>
      <c r="D1443" s="331">
        <f t="shared" si="8"/>
        <v>453914.75</v>
      </c>
      <c r="E1443" s="478">
        <v>453714.75</v>
      </c>
      <c r="F1443" s="479">
        <v>200</v>
      </c>
    </row>
    <row r="1444" spans="3:6" x14ac:dyDescent="0.2">
      <c r="C1444" s="807">
        <v>44386</v>
      </c>
      <c r="D1444" s="331">
        <f t="shared" si="8"/>
        <v>451808.36</v>
      </c>
      <c r="E1444" s="478">
        <v>451608.36</v>
      </c>
      <c r="F1444" s="479">
        <v>200</v>
      </c>
    </row>
    <row r="1445" spans="3:6" x14ac:dyDescent="0.2">
      <c r="C1445" s="807">
        <v>44389</v>
      </c>
      <c r="D1445" s="331">
        <f t="shared" si="8"/>
        <v>451808</v>
      </c>
      <c r="E1445" s="478">
        <v>451608</v>
      </c>
      <c r="F1445" s="479">
        <v>200</v>
      </c>
    </row>
    <row r="1446" spans="3:6" x14ac:dyDescent="0.2">
      <c r="C1446" s="807">
        <v>44390</v>
      </c>
      <c r="D1446" s="331">
        <f t="shared" si="8"/>
        <v>452941.65</v>
      </c>
      <c r="E1446" s="478">
        <v>452741.65</v>
      </c>
      <c r="F1446" s="479">
        <v>200</v>
      </c>
    </row>
    <row r="1447" spans="3:6" x14ac:dyDescent="0.2">
      <c r="C1447" s="807">
        <v>44391</v>
      </c>
      <c r="D1447" s="331">
        <f t="shared" si="8"/>
        <v>453131.97</v>
      </c>
      <c r="E1447" s="478">
        <v>452931.97</v>
      </c>
      <c r="F1447" s="479">
        <v>200</v>
      </c>
    </row>
    <row r="1448" spans="3:6" x14ac:dyDescent="0.2">
      <c r="C1448" s="807">
        <v>44392</v>
      </c>
      <c r="D1448" s="331">
        <f t="shared" si="8"/>
        <v>453180.49</v>
      </c>
      <c r="E1448" s="478">
        <v>452980.49</v>
      </c>
      <c r="F1448" s="479">
        <v>200</v>
      </c>
    </row>
    <row r="1449" spans="3:6" x14ac:dyDescent="0.2">
      <c r="C1449" s="807">
        <v>44393</v>
      </c>
      <c r="D1449" s="331">
        <f t="shared" si="8"/>
        <v>453180</v>
      </c>
      <c r="E1449" s="478">
        <v>452980</v>
      </c>
      <c r="F1449" s="479">
        <v>200</v>
      </c>
    </row>
    <row r="1450" spans="3:6" x14ac:dyDescent="0.2">
      <c r="C1450" s="807">
        <v>44396</v>
      </c>
      <c r="D1450" s="331">
        <f t="shared" si="8"/>
        <v>436299.85</v>
      </c>
      <c r="E1450" s="478">
        <v>436099.85</v>
      </c>
      <c r="F1450" s="479">
        <v>200</v>
      </c>
    </row>
    <row r="1451" spans="3:6" x14ac:dyDescent="0.2">
      <c r="C1451" s="807">
        <v>44397</v>
      </c>
      <c r="D1451" s="331">
        <f t="shared" si="8"/>
        <v>400936.9</v>
      </c>
      <c r="E1451" s="478">
        <v>400736.9</v>
      </c>
      <c r="F1451" s="479">
        <v>200</v>
      </c>
    </row>
    <row r="1452" spans="3:6" x14ac:dyDescent="0.2">
      <c r="C1452" s="807">
        <v>44398</v>
      </c>
      <c r="D1452" s="331">
        <f t="shared" si="8"/>
        <v>400937</v>
      </c>
      <c r="E1452" s="478">
        <v>400737</v>
      </c>
      <c r="F1452" s="479">
        <v>200</v>
      </c>
    </row>
    <row r="1453" spans="3:6" x14ac:dyDescent="0.2">
      <c r="C1453" s="807">
        <v>44399</v>
      </c>
      <c r="D1453" s="331">
        <f t="shared" si="8"/>
        <v>298716.2</v>
      </c>
      <c r="E1453" s="478">
        <v>298516.2</v>
      </c>
      <c r="F1453" s="479">
        <v>200</v>
      </c>
    </row>
    <row r="1454" spans="3:6" x14ac:dyDescent="0.2">
      <c r="C1454" s="807">
        <v>44400</v>
      </c>
      <c r="D1454" s="331">
        <f t="shared" si="8"/>
        <v>298557.34999999998</v>
      </c>
      <c r="E1454" s="478">
        <v>298357.34999999998</v>
      </c>
      <c r="F1454" s="479">
        <v>200</v>
      </c>
    </row>
    <row r="1455" spans="3:6" x14ac:dyDescent="0.2">
      <c r="C1455" s="807">
        <v>44403</v>
      </c>
      <c r="D1455" s="331">
        <f t="shared" ref="D1455" si="9">E1455+F1455</f>
        <v>298557</v>
      </c>
      <c r="E1455" s="478">
        <v>298357</v>
      </c>
      <c r="F1455" s="479">
        <v>200</v>
      </c>
    </row>
    <row r="1456" spans="3:6" x14ac:dyDescent="0.2">
      <c r="C1456" s="807">
        <v>44404</v>
      </c>
      <c r="D1456" s="331">
        <v>298047.28999999998</v>
      </c>
      <c r="E1456" s="478">
        <v>298357</v>
      </c>
      <c r="F1456" s="479">
        <v>200</v>
      </c>
    </row>
    <row r="1457" spans="3:6" x14ac:dyDescent="0.2">
      <c r="C1457" s="807">
        <v>44405</v>
      </c>
      <c r="D1457" s="331">
        <f t="shared" ref="D1457:D1520" si="10">E1457+F1457</f>
        <v>298221.59000000003</v>
      </c>
      <c r="E1457" s="331">
        <v>298021.59000000003</v>
      </c>
      <c r="F1457" s="479">
        <v>200</v>
      </c>
    </row>
    <row r="1458" spans="3:6" x14ac:dyDescent="0.2">
      <c r="C1458" s="807">
        <v>44406</v>
      </c>
      <c r="D1458" s="331">
        <f t="shared" si="10"/>
        <v>298222</v>
      </c>
      <c r="E1458" s="331">
        <v>298022</v>
      </c>
      <c r="F1458" s="479">
        <v>200</v>
      </c>
    </row>
    <row r="1459" spans="3:6" x14ac:dyDescent="0.2">
      <c r="C1459" s="807">
        <v>44407</v>
      </c>
      <c r="D1459" s="331">
        <f t="shared" si="10"/>
        <v>286090</v>
      </c>
      <c r="E1459" s="331">
        <v>285890</v>
      </c>
      <c r="F1459" s="479">
        <v>200</v>
      </c>
    </row>
    <row r="1460" spans="3:6" x14ac:dyDescent="0.2">
      <c r="C1460" s="807">
        <v>44410</v>
      </c>
      <c r="D1460" s="331">
        <f t="shared" si="10"/>
        <v>285690.83</v>
      </c>
      <c r="E1460" s="331">
        <v>285490.83</v>
      </c>
      <c r="F1460" s="479">
        <v>200</v>
      </c>
    </row>
    <row r="1461" spans="3:6" x14ac:dyDescent="0.2">
      <c r="C1461" s="807">
        <v>44411</v>
      </c>
      <c r="D1461" s="331">
        <f t="shared" si="10"/>
        <v>250196.9</v>
      </c>
      <c r="E1461" s="331">
        <v>249996.9</v>
      </c>
      <c r="F1461" s="479">
        <v>200</v>
      </c>
    </row>
    <row r="1462" spans="3:6" x14ac:dyDescent="0.2">
      <c r="C1462" s="807">
        <v>44412</v>
      </c>
      <c r="D1462" s="331">
        <f t="shared" si="10"/>
        <v>250197</v>
      </c>
      <c r="E1462" s="331">
        <v>249997</v>
      </c>
      <c r="F1462" s="479">
        <v>200</v>
      </c>
    </row>
    <row r="1463" spans="3:6" x14ac:dyDescent="0.2">
      <c r="C1463" s="807">
        <v>44413</v>
      </c>
      <c r="D1463" s="331">
        <f t="shared" si="10"/>
        <v>242217.24</v>
      </c>
      <c r="E1463" s="331">
        <v>242017.24</v>
      </c>
      <c r="F1463" s="479">
        <v>200</v>
      </c>
    </row>
    <row r="1464" spans="3:6" x14ac:dyDescent="0.2">
      <c r="C1464" s="807">
        <v>44414</v>
      </c>
      <c r="D1464" s="331">
        <f t="shared" si="10"/>
        <v>241916.79</v>
      </c>
      <c r="E1464" s="331">
        <v>241716.79</v>
      </c>
      <c r="F1464" s="479">
        <v>200</v>
      </c>
    </row>
    <row r="1465" spans="3:6" x14ac:dyDescent="0.2">
      <c r="C1465" s="807">
        <v>44417</v>
      </c>
      <c r="D1465" s="331">
        <f t="shared" si="10"/>
        <v>242014.29</v>
      </c>
      <c r="E1465" s="331">
        <v>241814.29</v>
      </c>
      <c r="F1465" s="479">
        <v>200</v>
      </c>
    </row>
    <row r="1466" spans="3:6" x14ac:dyDescent="0.2">
      <c r="C1466" s="807">
        <v>44418</v>
      </c>
      <c r="D1466" s="331">
        <f t="shared" si="10"/>
        <v>260028.48</v>
      </c>
      <c r="E1466" s="331">
        <v>259828.48000000001</v>
      </c>
      <c r="F1466" s="479">
        <v>200</v>
      </c>
    </row>
    <row r="1467" spans="3:6" x14ac:dyDescent="0.2">
      <c r="C1467" s="807">
        <v>44419</v>
      </c>
      <c r="D1467" s="331">
        <f t="shared" si="10"/>
        <v>261085.42</v>
      </c>
      <c r="E1467" s="331">
        <v>260885.42</v>
      </c>
      <c r="F1467" s="479">
        <v>200</v>
      </c>
    </row>
    <row r="1468" spans="3:6" x14ac:dyDescent="0.2">
      <c r="C1468" s="807">
        <v>44420</v>
      </c>
      <c r="D1468" s="331">
        <f t="shared" si="10"/>
        <v>261983.68</v>
      </c>
      <c r="E1468" s="331">
        <v>261783.67999999999</v>
      </c>
      <c r="F1468" s="479">
        <v>200</v>
      </c>
    </row>
    <row r="1469" spans="3:6" x14ac:dyDescent="0.2">
      <c r="C1469" s="807">
        <v>44421</v>
      </c>
      <c r="D1469" s="331">
        <f t="shared" si="10"/>
        <v>262016.54</v>
      </c>
      <c r="E1469" s="331">
        <v>261816.54</v>
      </c>
      <c r="F1469" s="479">
        <v>200</v>
      </c>
    </row>
    <row r="1470" spans="3:6" x14ac:dyDescent="0.2">
      <c r="C1470" s="807">
        <v>44424</v>
      </c>
      <c r="D1470" s="331">
        <f t="shared" si="10"/>
        <v>262016.54</v>
      </c>
      <c r="E1470" s="331">
        <f>E1469</f>
        <v>261816.54</v>
      </c>
      <c r="F1470" s="479">
        <v>200</v>
      </c>
    </row>
    <row r="1471" spans="3:6" x14ac:dyDescent="0.2">
      <c r="C1471" s="807">
        <v>44425</v>
      </c>
      <c r="D1471" s="331">
        <f t="shared" si="10"/>
        <v>226196.56</v>
      </c>
      <c r="E1471" s="331">
        <v>225996.56</v>
      </c>
      <c r="F1471" s="479">
        <v>200</v>
      </c>
    </row>
    <row r="1472" spans="3:6" x14ac:dyDescent="0.2">
      <c r="C1472" s="807">
        <v>44426</v>
      </c>
      <c r="D1472" s="331">
        <f t="shared" si="10"/>
        <v>245030.16</v>
      </c>
      <c r="E1472" s="331">
        <v>244830.16</v>
      </c>
      <c r="F1472" s="479">
        <v>200</v>
      </c>
    </row>
    <row r="1473" spans="3:6" x14ac:dyDescent="0.2">
      <c r="C1473" s="807">
        <v>44427</v>
      </c>
      <c r="D1473" s="331">
        <f t="shared" si="10"/>
        <v>229633.33</v>
      </c>
      <c r="E1473" s="331">
        <v>229433.33</v>
      </c>
      <c r="F1473" s="479">
        <v>200</v>
      </c>
    </row>
    <row r="1474" spans="3:6" x14ac:dyDescent="0.2">
      <c r="C1474" s="807">
        <v>44428</v>
      </c>
      <c r="D1474" s="331">
        <f t="shared" si="10"/>
        <v>247195.12</v>
      </c>
      <c r="E1474" s="331">
        <v>246995.12</v>
      </c>
      <c r="F1474" s="479">
        <v>200</v>
      </c>
    </row>
    <row r="1475" spans="3:6" x14ac:dyDescent="0.2">
      <c r="C1475" s="807">
        <v>44431</v>
      </c>
      <c r="D1475" s="331">
        <f t="shared" si="10"/>
        <v>247195.12</v>
      </c>
      <c r="E1475" s="331">
        <f>E1474</f>
        <v>246995.12</v>
      </c>
      <c r="F1475" s="479">
        <v>200</v>
      </c>
    </row>
    <row r="1476" spans="3:6" x14ac:dyDescent="0.2">
      <c r="C1476" s="807">
        <v>44432</v>
      </c>
      <c r="D1476" s="331">
        <f t="shared" si="10"/>
        <v>347649.83</v>
      </c>
      <c r="E1476" s="331">
        <v>347449.83</v>
      </c>
      <c r="F1476" s="479">
        <v>200</v>
      </c>
    </row>
    <row r="1477" spans="3:6" x14ac:dyDescent="0.2">
      <c r="C1477" s="807">
        <v>44433</v>
      </c>
      <c r="D1477" s="331">
        <f t="shared" si="10"/>
        <v>347649.83</v>
      </c>
      <c r="E1477" s="331">
        <f>E1476</f>
        <v>347449.83</v>
      </c>
      <c r="F1477" s="479">
        <v>200</v>
      </c>
    </row>
    <row r="1478" spans="3:6" x14ac:dyDescent="0.2">
      <c r="C1478" s="807">
        <v>44434</v>
      </c>
      <c r="D1478" s="331">
        <f t="shared" si="10"/>
        <v>341237.68</v>
      </c>
      <c r="E1478" s="331">
        <v>341037.68</v>
      </c>
      <c r="F1478" s="479">
        <v>200</v>
      </c>
    </row>
    <row r="1479" spans="3:6" x14ac:dyDescent="0.2">
      <c r="C1479" s="807">
        <v>44435</v>
      </c>
      <c r="D1479" s="331">
        <f t="shared" si="10"/>
        <v>373525.01</v>
      </c>
      <c r="E1479" s="331">
        <v>373325.01</v>
      </c>
      <c r="F1479" s="479">
        <v>200</v>
      </c>
    </row>
    <row r="1480" spans="3:6" x14ac:dyDescent="0.2">
      <c r="C1480" s="807">
        <v>44438</v>
      </c>
      <c r="D1480" s="331">
        <f t="shared" si="10"/>
        <v>373525.01</v>
      </c>
      <c r="E1480" s="331">
        <f>E1479</f>
        <v>373325.01</v>
      </c>
      <c r="F1480" s="479">
        <v>200</v>
      </c>
    </row>
    <row r="1481" spans="3:6" x14ac:dyDescent="0.2">
      <c r="C1481" s="807">
        <v>44439</v>
      </c>
      <c r="D1481" s="331">
        <f t="shared" si="10"/>
        <v>336851.39</v>
      </c>
      <c r="E1481" s="331">
        <v>336651.39</v>
      </c>
      <c r="F1481" s="479">
        <v>200</v>
      </c>
    </row>
    <row r="1482" spans="3:6" x14ac:dyDescent="0.2">
      <c r="C1482" s="807">
        <v>44440</v>
      </c>
      <c r="D1482" s="331">
        <f t="shared" si="10"/>
        <v>336851.39</v>
      </c>
      <c r="E1482" s="331">
        <f>E1481</f>
        <v>336651.39</v>
      </c>
      <c r="F1482" s="479">
        <v>200</v>
      </c>
    </row>
    <row r="1483" spans="3:6" x14ac:dyDescent="0.2">
      <c r="C1483" s="807">
        <v>44441</v>
      </c>
      <c r="D1483" s="331">
        <f t="shared" si="10"/>
        <v>336851.39</v>
      </c>
      <c r="E1483" s="331">
        <f>E1482</f>
        <v>336651.39</v>
      </c>
      <c r="F1483" s="479">
        <v>200</v>
      </c>
    </row>
    <row r="1484" spans="3:6" x14ac:dyDescent="0.2">
      <c r="C1484" s="807">
        <v>44442</v>
      </c>
      <c r="D1484" s="331">
        <f t="shared" si="10"/>
        <v>360197.14</v>
      </c>
      <c r="E1484" s="331">
        <v>359997.14</v>
      </c>
      <c r="F1484" s="479">
        <v>200</v>
      </c>
    </row>
    <row r="1485" spans="3:6" x14ac:dyDescent="0.2">
      <c r="C1485" s="807">
        <v>44445</v>
      </c>
      <c r="D1485" s="331">
        <f t="shared" si="10"/>
        <v>360197.14</v>
      </c>
      <c r="E1485" s="331">
        <f>E1484</f>
        <v>359997.14</v>
      </c>
      <c r="F1485" s="479">
        <v>200</v>
      </c>
    </row>
    <row r="1486" spans="3:6" x14ac:dyDescent="0.2">
      <c r="C1486" s="807">
        <v>44446</v>
      </c>
      <c r="D1486" s="331">
        <f t="shared" si="10"/>
        <v>354806.36</v>
      </c>
      <c r="E1486" s="331">
        <v>354606.36</v>
      </c>
      <c r="F1486" s="479">
        <v>200</v>
      </c>
    </row>
    <row r="1487" spans="3:6" x14ac:dyDescent="0.2">
      <c r="C1487" s="807">
        <v>44447</v>
      </c>
      <c r="D1487" s="331">
        <f t="shared" si="10"/>
        <v>354806.36</v>
      </c>
      <c r="E1487" s="331">
        <f>E1486</f>
        <v>354606.36</v>
      </c>
      <c r="F1487" s="479">
        <v>200</v>
      </c>
    </row>
    <row r="1488" spans="3:6" x14ac:dyDescent="0.2">
      <c r="C1488" s="807">
        <v>44448</v>
      </c>
      <c r="D1488" s="331">
        <f t="shared" si="10"/>
        <v>354806.36</v>
      </c>
      <c r="E1488" s="331">
        <f>E1487</f>
        <v>354606.36</v>
      </c>
      <c r="F1488" s="479">
        <v>200</v>
      </c>
    </row>
    <row r="1489" spans="3:6" x14ac:dyDescent="0.2">
      <c r="C1489" s="807">
        <v>44449</v>
      </c>
      <c r="D1489" s="331">
        <f t="shared" si="10"/>
        <v>354806.36</v>
      </c>
      <c r="E1489" s="331">
        <f>E1488</f>
        <v>354606.36</v>
      </c>
      <c r="F1489" s="479">
        <v>200</v>
      </c>
    </row>
    <row r="1490" spans="3:6" x14ac:dyDescent="0.2">
      <c r="C1490" s="807">
        <v>44452</v>
      </c>
      <c r="D1490" s="331">
        <f t="shared" si="10"/>
        <v>317290.98</v>
      </c>
      <c r="E1490" s="331">
        <v>317090.98</v>
      </c>
      <c r="F1490" s="479">
        <v>200</v>
      </c>
    </row>
    <row r="1491" spans="3:6" x14ac:dyDescent="0.2">
      <c r="C1491" s="807">
        <v>44453</v>
      </c>
      <c r="D1491" s="331">
        <f t="shared" si="10"/>
        <v>365898.08</v>
      </c>
      <c r="E1491" s="331">
        <v>365698.08</v>
      </c>
      <c r="F1491" s="479">
        <v>200</v>
      </c>
    </row>
    <row r="1492" spans="3:6" x14ac:dyDescent="0.2">
      <c r="C1492" s="807">
        <v>44454</v>
      </c>
      <c r="D1492" s="331">
        <f t="shared" si="10"/>
        <v>365935.11</v>
      </c>
      <c r="E1492" s="331">
        <v>365735.11</v>
      </c>
      <c r="F1492" s="479">
        <v>200</v>
      </c>
    </row>
    <row r="1493" spans="3:6" x14ac:dyDescent="0.2">
      <c r="C1493" s="807">
        <v>44455</v>
      </c>
      <c r="D1493" s="331">
        <f t="shared" si="10"/>
        <v>365935.11</v>
      </c>
      <c r="E1493" s="331">
        <f>E1492</f>
        <v>365735.11</v>
      </c>
      <c r="F1493" s="479">
        <v>200</v>
      </c>
    </row>
    <row r="1494" spans="3:6" x14ac:dyDescent="0.2">
      <c r="C1494" s="807">
        <v>44456</v>
      </c>
      <c r="D1494" s="331">
        <f t="shared" si="10"/>
        <v>357664.5</v>
      </c>
      <c r="E1494" s="331">
        <v>357464.5</v>
      </c>
      <c r="F1494" s="479">
        <v>200</v>
      </c>
    </row>
    <row r="1495" spans="3:6" x14ac:dyDescent="0.2">
      <c r="C1495" s="807">
        <v>44459</v>
      </c>
      <c r="D1495" s="331">
        <f t="shared" si="10"/>
        <v>357664.5</v>
      </c>
      <c r="E1495" s="331">
        <f>E1494</f>
        <v>357464.5</v>
      </c>
      <c r="F1495" s="479">
        <v>200</v>
      </c>
    </row>
    <row r="1496" spans="3:6" x14ac:dyDescent="0.2">
      <c r="C1496" s="807">
        <v>44460</v>
      </c>
      <c r="D1496" s="331">
        <f t="shared" si="10"/>
        <v>357664.5</v>
      </c>
      <c r="E1496" s="331">
        <f>E1495</f>
        <v>357464.5</v>
      </c>
      <c r="F1496" s="479">
        <v>200</v>
      </c>
    </row>
    <row r="1497" spans="3:6" x14ac:dyDescent="0.2">
      <c r="C1497" s="807">
        <v>44461</v>
      </c>
      <c r="D1497" s="331">
        <f t="shared" si="10"/>
        <v>364108.39</v>
      </c>
      <c r="E1497" s="331">
        <v>363908.39</v>
      </c>
      <c r="F1497" s="479">
        <v>200</v>
      </c>
    </row>
    <row r="1498" spans="3:6" x14ac:dyDescent="0.2">
      <c r="C1498" s="807">
        <v>44462</v>
      </c>
      <c r="D1498" s="331">
        <f t="shared" si="10"/>
        <v>372557.83</v>
      </c>
      <c r="E1498" s="331">
        <v>372357.83</v>
      </c>
      <c r="F1498" s="479">
        <v>200</v>
      </c>
    </row>
    <row r="1499" spans="3:6" x14ac:dyDescent="0.2">
      <c r="C1499" s="807">
        <v>44463</v>
      </c>
      <c r="D1499" s="331">
        <f t="shared" si="10"/>
        <v>372557.83</v>
      </c>
      <c r="E1499" s="331">
        <f>E1498</f>
        <v>372357.83</v>
      </c>
      <c r="F1499" s="479">
        <v>200</v>
      </c>
    </row>
    <row r="1500" spans="3:6" x14ac:dyDescent="0.2">
      <c r="C1500" s="807">
        <v>44466</v>
      </c>
      <c r="D1500" s="331">
        <f t="shared" si="10"/>
        <v>393073.43</v>
      </c>
      <c r="E1500" s="331">
        <v>392873.43</v>
      </c>
      <c r="F1500" s="479">
        <v>200</v>
      </c>
    </row>
    <row r="1501" spans="3:6" x14ac:dyDescent="0.2">
      <c r="C1501" s="807">
        <v>44467</v>
      </c>
      <c r="D1501" s="331">
        <f t="shared" si="10"/>
        <v>354832.22</v>
      </c>
      <c r="E1501" s="331">
        <v>354632.22</v>
      </c>
      <c r="F1501" s="479">
        <v>200</v>
      </c>
    </row>
    <row r="1502" spans="3:6" x14ac:dyDescent="0.2">
      <c r="C1502" s="807">
        <v>44468</v>
      </c>
      <c r="D1502" s="331">
        <f t="shared" si="10"/>
        <v>354832.22</v>
      </c>
      <c r="E1502" s="331">
        <f>E1501</f>
        <v>354632.22</v>
      </c>
      <c r="F1502" s="479">
        <v>200</v>
      </c>
    </row>
    <row r="1503" spans="3:6" x14ac:dyDescent="0.2">
      <c r="C1503" s="807">
        <v>44469</v>
      </c>
      <c r="D1503" s="331">
        <f t="shared" si="10"/>
        <v>354832.22</v>
      </c>
      <c r="E1503" s="331">
        <f>E1502</f>
        <v>354632.22</v>
      </c>
      <c r="F1503" s="479">
        <v>200</v>
      </c>
    </row>
    <row r="1504" spans="3:6" x14ac:dyDescent="0.2">
      <c r="C1504" s="807">
        <v>44470</v>
      </c>
      <c r="D1504" s="331">
        <f t="shared" si="10"/>
        <v>343420.25</v>
      </c>
      <c r="E1504" s="331">
        <v>343220.25</v>
      </c>
      <c r="F1504" s="479">
        <v>200</v>
      </c>
    </row>
    <row r="1505" spans="3:6" x14ac:dyDescent="0.2">
      <c r="C1505" s="807">
        <v>44473</v>
      </c>
      <c r="D1505" s="331">
        <f t="shared" si="10"/>
        <v>343420.25</v>
      </c>
      <c r="E1505" s="331">
        <f>E1504</f>
        <v>343220.25</v>
      </c>
      <c r="F1505" s="479">
        <v>200</v>
      </c>
    </row>
    <row r="1506" spans="3:6" x14ac:dyDescent="0.2">
      <c r="C1506" s="807">
        <v>44474</v>
      </c>
      <c r="D1506" s="331">
        <f t="shared" si="10"/>
        <v>343582.25</v>
      </c>
      <c r="E1506" s="331">
        <v>343382.25</v>
      </c>
      <c r="F1506" s="479">
        <v>200</v>
      </c>
    </row>
    <row r="1507" spans="3:6" x14ac:dyDescent="0.2">
      <c r="C1507" s="807">
        <v>44475</v>
      </c>
      <c r="D1507" s="331">
        <f t="shared" si="10"/>
        <v>343582.25</v>
      </c>
      <c r="E1507" s="331">
        <f>E1506</f>
        <v>343382.25</v>
      </c>
      <c r="F1507" s="479">
        <v>200</v>
      </c>
    </row>
    <row r="1508" spans="3:6" x14ac:dyDescent="0.2">
      <c r="C1508" s="807">
        <v>44476</v>
      </c>
      <c r="D1508" s="331">
        <f t="shared" si="10"/>
        <v>343606.26</v>
      </c>
      <c r="E1508" s="331">
        <v>343406.26</v>
      </c>
      <c r="F1508" s="479">
        <v>200</v>
      </c>
    </row>
    <row r="1509" spans="3:6" x14ac:dyDescent="0.2">
      <c r="C1509" s="807">
        <v>44477</v>
      </c>
      <c r="D1509" s="331">
        <f t="shared" si="10"/>
        <v>329221.56</v>
      </c>
      <c r="E1509" s="331">
        <v>329021.56</v>
      </c>
      <c r="F1509" s="479">
        <v>200</v>
      </c>
    </row>
    <row r="1510" spans="3:6" x14ac:dyDescent="0.2">
      <c r="C1510" s="807">
        <v>44480</v>
      </c>
      <c r="D1510" s="331">
        <f t="shared" si="10"/>
        <v>329221.56</v>
      </c>
      <c r="E1510" s="331">
        <f>E1509</f>
        <v>329021.56</v>
      </c>
      <c r="F1510" s="479">
        <v>200</v>
      </c>
    </row>
    <row r="1511" spans="3:6" x14ac:dyDescent="0.2">
      <c r="C1511" s="807">
        <v>44481</v>
      </c>
      <c r="D1511" s="331">
        <f t="shared" si="10"/>
        <v>288818.46999999997</v>
      </c>
      <c r="E1511" s="331">
        <v>288618.46999999997</v>
      </c>
      <c r="F1511" s="479">
        <v>200</v>
      </c>
    </row>
    <row r="1512" spans="3:6" x14ac:dyDescent="0.2">
      <c r="C1512" s="807">
        <v>44482</v>
      </c>
      <c r="D1512" s="331">
        <f t="shared" si="10"/>
        <v>288818.46999999997</v>
      </c>
      <c r="E1512" s="331">
        <f>E1511</f>
        <v>288618.46999999997</v>
      </c>
      <c r="F1512" s="479">
        <v>200</v>
      </c>
    </row>
    <row r="1513" spans="3:6" x14ac:dyDescent="0.2">
      <c r="C1513" s="807">
        <v>44483</v>
      </c>
      <c r="D1513" s="331">
        <f t="shared" si="10"/>
        <v>295077.74</v>
      </c>
      <c r="E1513" s="331">
        <v>294877.74</v>
      </c>
      <c r="F1513" s="479">
        <v>200</v>
      </c>
    </row>
    <row r="1514" spans="3:6" x14ac:dyDescent="0.2">
      <c r="C1514" s="807">
        <v>44484</v>
      </c>
      <c r="D1514" s="331">
        <f t="shared" si="10"/>
        <v>313755.08</v>
      </c>
      <c r="E1514" s="331">
        <v>313555.08</v>
      </c>
      <c r="F1514" s="479">
        <v>200</v>
      </c>
    </row>
    <row r="1515" spans="3:6" x14ac:dyDescent="0.2">
      <c r="C1515" s="807">
        <v>44487</v>
      </c>
      <c r="D1515" s="331">
        <f t="shared" si="10"/>
        <v>314129.08</v>
      </c>
      <c r="E1515" s="331">
        <v>313929.08</v>
      </c>
      <c r="F1515" s="479">
        <v>200</v>
      </c>
    </row>
    <row r="1516" spans="3:6" x14ac:dyDescent="0.2">
      <c r="C1516" s="807">
        <v>44488</v>
      </c>
      <c r="D1516" s="331">
        <f t="shared" si="10"/>
        <v>314618.64</v>
      </c>
      <c r="E1516" s="331">
        <v>314418.64</v>
      </c>
      <c r="F1516" s="479">
        <v>200</v>
      </c>
    </row>
    <row r="1517" spans="3:6" x14ac:dyDescent="0.2">
      <c r="C1517" s="807">
        <v>44489</v>
      </c>
      <c r="D1517" s="331">
        <f t="shared" si="10"/>
        <v>312798.90999999997</v>
      </c>
      <c r="E1517" s="331">
        <v>312598.90999999997</v>
      </c>
      <c r="F1517" s="479">
        <v>200</v>
      </c>
    </row>
    <row r="1518" spans="3:6" x14ac:dyDescent="0.2">
      <c r="C1518" s="807">
        <v>44490</v>
      </c>
      <c r="D1518" s="331">
        <f t="shared" si="10"/>
        <v>312798.90999999997</v>
      </c>
      <c r="E1518" s="331">
        <f>E1517</f>
        <v>312598.90999999997</v>
      </c>
      <c r="F1518" s="479">
        <v>200</v>
      </c>
    </row>
    <row r="1519" spans="3:6" x14ac:dyDescent="0.2">
      <c r="C1519" s="807">
        <v>44491</v>
      </c>
      <c r="D1519" s="331">
        <f t="shared" si="10"/>
        <v>312852.06</v>
      </c>
      <c r="E1519" s="331">
        <v>312652.06</v>
      </c>
      <c r="F1519" s="479">
        <v>200</v>
      </c>
    </row>
    <row r="1520" spans="3:6" x14ac:dyDescent="0.2">
      <c r="C1520" s="807">
        <v>44494</v>
      </c>
      <c r="D1520" s="331">
        <f t="shared" si="10"/>
        <v>276164.93</v>
      </c>
      <c r="E1520" s="331">
        <v>275964.93</v>
      </c>
      <c r="F1520" s="479">
        <v>200</v>
      </c>
    </row>
    <row r="1521" spans="3:6" x14ac:dyDescent="0.2">
      <c r="C1521" s="807">
        <v>44495</v>
      </c>
      <c r="D1521" s="331">
        <f t="shared" ref="D1521:D1567" si="11">E1521+F1521</f>
        <v>272175.64</v>
      </c>
      <c r="E1521" s="331">
        <v>271975.64</v>
      </c>
      <c r="F1521" s="479">
        <v>200</v>
      </c>
    </row>
    <row r="1522" spans="3:6" x14ac:dyDescent="0.2">
      <c r="C1522" s="807">
        <v>44496</v>
      </c>
      <c r="D1522" s="331">
        <f t="shared" si="11"/>
        <v>272175.64</v>
      </c>
      <c r="E1522" s="331">
        <f>E1521</f>
        <v>271975.64</v>
      </c>
      <c r="F1522" s="479">
        <v>200</v>
      </c>
    </row>
    <row r="1523" spans="3:6" x14ac:dyDescent="0.2">
      <c r="C1523" s="807">
        <v>44497</v>
      </c>
      <c r="D1523" s="331">
        <f t="shared" si="11"/>
        <v>272474.64</v>
      </c>
      <c r="E1523" s="331">
        <v>272274.64</v>
      </c>
      <c r="F1523" s="479">
        <v>200</v>
      </c>
    </row>
    <row r="1524" spans="3:6" x14ac:dyDescent="0.2">
      <c r="C1524" s="807">
        <v>44498</v>
      </c>
      <c r="D1524" s="331">
        <f t="shared" si="11"/>
        <v>272174.19</v>
      </c>
      <c r="E1524" s="331">
        <v>271974.19</v>
      </c>
      <c r="F1524" s="479">
        <v>200</v>
      </c>
    </row>
    <row r="1525" spans="3:6" x14ac:dyDescent="0.2">
      <c r="C1525" s="807">
        <v>44501</v>
      </c>
      <c r="D1525" s="331">
        <f t="shared" si="11"/>
        <v>272174.19</v>
      </c>
      <c r="E1525" s="331">
        <f>E1524</f>
        <v>271974.19</v>
      </c>
      <c r="F1525" s="479">
        <v>200</v>
      </c>
    </row>
    <row r="1526" spans="3:6" x14ac:dyDescent="0.2">
      <c r="C1526" s="807">
        <v>44502</v>
      </c>
      <c r="D1526" s="331">
        <f t="shared" si="11"/>
        <v>272174.19</v>
      </c>
      <c r="E1526" s="331">
        <f>E1525</f>
        <v>271974.19</v>
      </c>
      <c r="F1526" s="479">
        <v>200</v>
      </c>
    </row>
    <row r="1527" spans="3:6" x14ac:dyDescent="0.2">
      <c r="C1527" s="807">
        <v>44503</v>
      </c>
      <c r="D1527" s="331">
        <f t="shared" si="11"/>
        <v>260821.81</v>
      </c>
      <c r="E1527" s="331">
        <v>260621.81</v>
      </c>
      <c r="F1527" s="479">
        <v>200</v>
      </c>
    </row>
    <row r="1528" spans="3:6" x14ac:dyDescent="0.2">
      <c r="C1528" s="807">
        <v>44504</v>
      </c>
      <c r="D1528" s="331">
        <f t="shared" si="11"/>
        <v>260821.81</v>
      </c>
      <c r="E1528" s="331">
        <f>E1527</f>
        <v>260621.81</v>
      </c>
      <c r="F1528" s="479">
        <v>200</v>
      </c>
    </row>
    <row r="1529" spans="3:6" x14ac:dyDescent="0.2">
      <c r="C1529" s="807">
        <v>44505</v>
      </c>
      <c r="D1529" s="331">
        <f t="shared" si="11"/>
        <v>260821.81</v>
      </c>
      <c r="E1529" s="331">
        <f>E1528</f>
        <v>260621.81</v>
      </c>
      <c r="F1529" s="479">
        <v>200</v>
      </c>
    </row>
    <row r="1530" spans="3:6" x14ac:dyDescent="0.2">
      <c r="C1530" s="807">
        <v>44508</v>
      </c>
      <c r="D1530" s="364">
        <f t="shared" si="11"/>
        <v>224274.32</v>
      </c>
      <c r="E1530" s="331">
        <v>224074.32</v>
      </c>
      <c r="F1530" s="479">
        <v>200</v>
      </c>
    </row>
    <row r="1531" spans="3:6" x14ac:dyDescent="0.2">
      <c r="C1531" s="807">
        <v>44509</v>
      </c>
      <c r="D1531" s="331">
        <f t="shared" si="11"/>
        <v>239871.56</v>
      </c>
      <c r="E1531" s="331">
        <v>239671.56</v>
      </c>
      <c r="F1531" s="479">
        <v>200</v>
      </c>
    </row>
    <row r="1532" spans="3:6" x14ac:dyDescent="0.2">
      <c r="C1532" s="807">
        <v>44510</v>
      </c>
      <c r="D1532" s="331">
        <f t="shared" si="11"/>
        <v>260426.56</v>
      </c>
      <c r="E1532" s="331">
        <v>260226.56</v>
      </c>
      <c r="F1532" s="479">
        <v>200</v>
      </c>
    </row>
    <row r="1533" spans="3:6" x14ac:dyDescent="0.2">
      <c r="C1533" s="807">
        <v>44511</v>
      </c>
      <c r="D1533" s="331">
        <f t="shared" si="11"/>
        <v>260426.56</v>
      </c>
      <c r="E1533" s="331">
        <f>E1532</f>
        <v>260226.56</v>
      </c>
      <c r="F1533" s="479">
        <v>200</v>
      </c>
    </row>
    <row r="1534" spans="3:6" x14ac:dyDescent="0.2">
      <c r="C1534" s="807">
        <v>44512</v>
      </c>
      <c r="D1534" s="331">
        <f t="shared" si="11"/>
        <v>260450.57</v>
      </c>
      <c r="E1534" s="331">
        <v>260250.57</v>
      </c>
      <c r="F1534" s="479">
        <v>200</v>
      </c>
    </row>
    <row r="1535" spans="3:6" x14ac:dyDescent="0.2">
      <c r="C1535" s="807">
        <v>44515</v>
      </c>
      <c r="D1535" s="331">
        <f t="shared" si="11"/>
        <v>260178.68</v>
      </c>
      <c r="E1535" s="331">
        <v>259978.68</v>
      </c>
      <c r="F1535" s="479">
        <v>200</v>
      </c>
    </row>
    <row r="1536" spans="3:6" x14ac:dyDescent="0.2">
      <c r="C1536" s="807">
        <v>44516</v>
      </c>
      <c r="D1536" s="331">
        <f t="shared" si="11"/>
        <v>260178.68</v>
      </c>
      <c r="E1536" s="331">
        <f>E1535</f>
        <v>259978.68</v>
      </c>
      <c r="F1536" s="479">
        <v>200</v>
      </c>
    </row>
    <row r="1537" spans="3:6" x14ac:dyDescent="0.2">
      <c r="C1537" s="807">
        <v>44517</v>
      </c>
      <c r="D1537" s="331">
        <f t="shared" si="11"/>
        <v>260178.68</v>
      </c>
      <c r="E1537" s="331">
        <f>E1536</f>
        <v>259978.68</v>
      </c>
      <c r="F1537" s="479">
        <v>200</v>
      </c>
    </row>
    <row r="1538" spans="3:6" x14ac:dyDescent="0.2">
      <c r="C1538" s="807">
        <v>44518</v>
      </c>
      <c r="D1538" s="331">
        <f t="shared" si="11"/>
        <v>298441.25</v>
      </c>
      <c r="E1538" s="331">
        <v>298241.25</v>
      </c>
      <c r="F1538" s="479">
        <v>200</v>
      </c>
    </row>
    <row r="1539" spans="3:6" x14ac:dyDescent="0.2">
      <c r="C1539" s="807">
        <v>44519</v>
      </c>
      <c r="D1539" s="331">
        <f t="shared" si="11"/>
        <v>302391.25</v>
      </c>
      <c r="E1539" s="331">
        <v>302191.25</v>
      </c>
      <c r="F1539" s="479">
        <v>200</v>
      </c>
    </row>
    <row r="1540" spans="3:6" x14ac:dyDescent="0.2">
      <c r="C1540" s="807">
        <v>44522</v>
      </c>
      <c r="D1540" s="331">
        <f t="shared" si="11"/>
        <v>261860.06</v>
      </c>
      <c r="E1540" s="331">
        <v>261660.06</v>
      </c>
      <c r="F1540" s="479">
        <v>200</v>
      </c>
    </row>
    <row r="1541" spans="3:6" x14ac:dyDescent="0.2">
      <c r="C1541" s="807">
        <v>44523</v>
      </c>
      <c r="D1541" s="331">
        <f t="shared" si="11"/>
        <v>261860.06</v>
      </c>
      <c r="E1541" s="331">
        <f>E1540</f>
        <v>261660.06</v>
      </c>
      <c r="F1541" s="479">
        <v>200</v>
      </c>
    </row>
    <row r="1542" spans="3:6" x14ac:dyDescent="0.2">
      <c r="C1542" s="807">
        <v>44524</v>
      </c>
      <c r="D1542" s="331">
        <f t="shared" si="11"/>
        <v>336740.96</v>
      </c>
      <c r="E1542" s="331">
        <v>336540.96</v>
      </c>
      <c r="F1542" s="479">
        <v>200</v>
      </c>
    </row>
    <row r="1543" spans="3:6" x14ac:dyDescent="0.2">
      <c r="C1543" s="807">
        <v>44525</v>
      </c>
      <c r="D1543" s="331">
        <f t="shared" si="11"/>
        <v>336740.96</v>
      </c>
      <c r="E1543" s="331">
        <f>E1542</f>
        <v>336540.96</v>
      </c>
      <c r="F1543" s="479">
        <v>200</v>
      </c>
    </row>
    <row r="1544" spans="3:6" x14ac:dyDescent="0.2">
      <c r="C1544" s="807">
        <v>44526</v>
      </c>
      <c r="D1544" s="331">
        <f t="shared" si="11"/>
        <v>396383.57</v>
      </c>
      <c r="E1544" s="331">
        <v>396183.57</v>
      </c>
      <c r="F1544" s="479">
        <v>200</v>
      </c>
    </row>
    <row r="1545" spans="3:6" x14ac:dyDescent="0.2">
      <c r="C1545" s="807">
        <v>44529</v>
      </c>
      <c r="D1545" s="331">
        <f t="shared" si="11"/>
        <v>396383.57</v>
      </c>
      <c r="E1545" s="331">
        <f>E1544</f>
        <v>396183.57</v>
      </c>
      <c r="F1545" s="479">
        <v>200</v>
      </c>
    </row>
    <row r="1546" spans="3:6" x14ac:dyDescent="0.2">
      <c r="C1546" s="807">
        <v>44530</v>
      </c>
      <c r="D1546" s="331">
        <f t="shared" si="11"/>
        <v>396383.57</v>
      </c>
      <c r="E1546" s="331">
        <f>E1545</f>
        <v>396183.57</v>
      </c>
      <c r="F1546" s="479">
        <v>200</v>
      </c>
    </row>
    <row r="1547" spans="3:6" x14ac:dyDescent="0.2">
      <c r="C1547" s="807">
        <v>44531</v>
      </c>
      <c r="D1547" s="331">
        <f t="shared" si="11"/>
        <v>406646.33</v>
      </c>
      <c r="E1547" s="331">
        <v>406446.33</v>
      </c>
      <c r="F1547" s="479">
        <v>200</v>
      </c>
    </row>
    <row r="1548" spans="3:6" x14ac:dyDescent="0.2">
      <c r="C1548" s="807">
        <v>44532</v>
      </c>
      <c r="D1548" s="331">
        <f t="shared" si="11"/>
        <v>406646.33</v>
      </c>
      <c r="E1548" s="331">
        <f>E1547</f>
        <v>406446.33</v>
      </c>
      <c r="F1548" s="479">
        <v>200</v>
      </c>
    </row>
    <row r="1549" spans="3:6" x14ac:dyDescent="0.2">
      <c r="C1549" s="807">
        <v>44533</v>
      </c>
      <c r="D1549" s="331">
        <f t="shared" si="11"/>
        <v>402705.53</v>
      </c>
      <c r="E1549" s="331">
        <v>402505.53</v>
      </c>
      <c r="F1549" s="479">
        <v>200</v>
      </c>
    </row>
    <row r="1550" spans="3:6" x14ac:dyDescent="0.2">
      <c r="C1550" s="807">
        <v>44536</v>
      </c>
      <c r="D1550" s="331">
        <f t="shared" si="11"/>
        <v>402705.53</v>
      </c>
      <c r="E1550" s="331">
        <f>E1549</f>
        <v>402505.53</v>
      </c>
      <c r="F1550" s="479">
        <v>200</v>
      </c>
    </row>
    <row r="1551" spans="3:6" x14ac:dyDescent="0.2">
      <c r="C1551" s="807">
        <v>44537</v>
      </c>
      <c r="D1551" s="331">
        <f t="shared" si="11"/>
        <v>367227.88</v>
      </c>
      <c r="E1551" s="331">
        <v>367027.88</v>
      </c>
      <c r="F1551" s="479">
        <v>200</v>
      </c>
    </row>
    <row r="1552" spans="3:6" x14ac:dyDescent="0.2">
      <c r="C1552" s="807">
        <v>44538</v>
      </c>
      <c r="D1552" s="331">
        <f t="shared" si="11"/>
        <v>367227.88</v>
      </c>
      <c r="E1552" s="331">
        <f>E1551</f>
        <v>367027.88</v>
      </c>
      <c r="F1552" s="479">
        <v>200</v>
      </c>
    </row>
    <row r="1553" spans="3:6" x14ac:dyDescent="0.2">
      <c r="C1553" s="807">
        <v>44539</v>
      </c>
      <c r="D1553" s="331">
        <f t="shared" si="11"/>
        <v>361816.56</v>
      </c>
      <c r="E1553" s="331">
        <v>361616.56</v>
      </c>
      <c r="F1553" s="479">
        <v>200</v>
      </c>
    </row>
    <row r="1554" spans="3:6" x14ac:dyDescent="0.2">
      <c r="C1554" s="807">
        <v>44540</v>
      </c>
      <c r="D1554" s="331">
        <f t="shared" si="11"/>
        <v>363428.01</v>
      </c>
      <c r="E1554" s="331">
        <v>363228.01</v>
      </c>
      <c r="F1554" s="479">
        <v>200</v>
      </c>
    </row>
    <row r="1555" spans="3:6" x14ac:dyDescent="0.2">
      <c r="C1555" s="807">
        <v>44543</v>
      </c>
      <c r="D1555" s="331">
        <f t="shared" si="11"/>
        <v>363428.01</v>
      </c>
      <c r="E1555" s="331">
        <f>E1554</f>
        <v>363228.01</v>
      </c>
      <c r="F1555" s="479">
        <v>200</v>
      </c>
    </row>
    <row r="1556" spans="3:6" x14ac:dyDescent="0.2">
      <c r="C1556" s="807">
        <v>44544</v>
      </c>
      <c r="D1556" s="331">
        <f t="shared" si="11"/>
        <v>388311.01</v>
      </c>
      <c r="E1556" s="331">
        <v>388111.01</v>
      </c>
      <c r="F1556" s="479">
        <v>200</v>
      </c>
    </row>
    <row r="1557" spans="3:6" x14ac:dyDescent="0.2">
      <c r="C1557" s="807">
        <v>44545</v>
      </c>
      <c r="D1557" s="331">
        <f t="shared" si="11"/>
        <v>388648.09</v>
      </c>
      <c r="E1557" s="331">
        <v>388448.09</v>
      </c>
      <c r="F1557" s="479">
        <v>200</v>
      </c>
    </row>
    <row r="1558" spans="3:6" x14ac:dyDescent="0.2">
      <c r="C1558" s="807">
        <v>44546</v>
      </c>
      <c r="D1558" s="331">
        <f t="shared" si="11"/>
        <v>388648.09</v>
      </c>
      <c r="E1558" s="331">
        <f>E1557</f>
        <v>388448.09</v>
      </c>
      <c r="F1558" s="479">
        <v>200</v>
      </c>
    </row>
    <row r="1559" spans="3:6" x14ac:dyDescent="0.2">
      <c r="C1559" s="807">
        <v>44547</v>
      </c>
      <c r="D1559" s="331">
        <f t="shared" si="11"/>
        <v>388648.09</v>
      </c>
      <c r="E1559" s="331">
        <f>E1558</f>
        <v>388448.09</v>
      </c>
      <c r="F1559" s="479">
        <v>200</v>
      </c>
    </row>
    <row r="1560" spans="3:6" x14ac:dyDescent="0.2">
      <c r="C1560" s="807">
        <v>44550</v>
      </c>
      <c r="D1560" s="331">
        <f t="shared" si="11"/>
        <v>402388.44</v>
      </c>
      <c r="E1560" s="331">
        <v>402188.44</v>
      </c>
      <c r="F1560" s="479">
        <v>200</v>
      </c>
    </row>
    <row r="1561" spans="3:6" x14ac:dyDescent="0.2">
      <c r="C1561" s="807">
        <v>44551</v>
      </c>
      <c r="D1561" s="331">
        <f t="shared" si="11"/>
        <v>364870.61</v>
      </c>
      <c r="E1561" s="331">
        <v>364670.61</v>
      </c>
      <c r="F1561" s="479">
        <v>200</v>
      </c>
    </row>
    <row r="1562" spans="3:6" x14ac:dyDescent="0.2">
      <c r="C1562" s="807">
        <v>44552</v>
      </c>
      <c r="D1562" s="331">
        <f t="shared" si="11"/>
        <v>364870.61</v>
      </c>
      <c r="E1562" s="331">
        <f>E1561</f>
        <v>364670.61</v>
      </c>
      <c r="F1562" s="479">
        <v>200</v>
      </c>
    </row>
    <row r="1563" spans="3:6" x14ac:dyDescent="0.2">
      <c r="C1563" s="807">
        <v>44553</v>
      </c>
      <c r="D1563" s="331">
        <f t="shared" si="11"/>
        <v>364270.61</v>
      </c>
      <c r="E1563" s="331">
        <v>364070.61</v>
      </c>
      <c r="F1563" s="479">
        <v>200</v>
      </c>
    </row>
    <row r="1564" spans="3:6" x14ac:dyDescent="0.2">
      <c r="C1564" s="807">
        <v>44554</v>
      </c>
      <c r="D1564" s="331">
        <f t="shared" si="11"/>
        <v>364270.61</v>
      </c>
      <c r="E1564" s="331">
        <f>E1563</f>
        <v>364070.61</v>
      </c>
      <c r="F1564" s="479">
        <v>200</v>
      </c>
    </row>
    <row r="1565" spans="3:6" x14ac:dyDescent="0.2">
      <c r="C1565" s="807">
        <v>44557</v>
      </c>
      <c r="D1565" s="331">
        <f t="shared" si="11"/>
        <v>364511.61</v>
      </c>
      <c r="E1565" s="331">
        <v>364311.61</v>
      </c>
      <c r="F1565" s="479">
        <v>200</v>
      </c>
    </row>
    <row r="1566" spans="3:6" x14ac:dyDescent="0.2">
      <c r="C1566" s="807">
        <v>44558</v>
      </c>
      <c r="D1566" s="331">
        <f t="shared" si="11"/>
        <v>366287.78</v>
      </c>
      <c r="E1566" s="331">
        <v>366087.78</v>
      </c>
      <c r="F1566" s="479">
        <v>200</v>
      </c>
    </row>
    <row r="1567" spans="3:6" x14ac:dyDescent="0.2">
      <c r="C1567" s="807">
        <v>44559</v>
      </c>
      <c r="D1567" s="331">
        <f t="shared" si="11"/>
        <v>406505.93</v>
      </c>
      <c r="E1567" s="331">
        <v>406305.93</v>
      </c>
      <c r="F1567" s="479">
        <v>200</v>
      </c>
    </row>
    <row r="1568" spans="3:6" x14ac:dyDescent="0.2">
      <c r="C1568" s="807">
        <v>44560</v>
      </c>
      <c r="D1568" s="331">
        <f>E1568+F1568</f>
        <v>406602.93</v>
      </c>
      <c r="E1568" s="331">
        <v>406402.93</v>
      </c>
      <c r="F1568" s="479">
        <v>200</v>
      </c>
    </row>
    <row r="1569" spans="3:6" x14ac:dyDescent="0.2">
      <c r="C1569" s="807">
        <v>44561</v>
      </c>
      <c r="D1569" s="331">
        <f t="shared" ref="D1569:D1655" si="12">E1569+F1569</f>
        <v>406700.45</v>
      </c>
      <c r="E1569" s="331">
        <v>406500.45</v>
      </c>
      <c r="F1569" s="479">
        <v>200</v>
      </c>
    </row>
    <row r="1570" spans="3:6" x14ac:dyDescent="0.2">
      <c r="C1570" s="807">
        <v>44564</v>
      </c>
      <c r="D1570" s="331">
        <f t="shared" si="12"/>
        <v>406650.45</v>
      </c>
      <c r="E1570" s="331">
        <v>406450.45</v>
      </c>
      <c r="F1570" s="479">
        <v>200</v>
      </c>
    </row>
    <row r="1571" spans="3:6" x14ac:dyDescent="0.2">
      <c r="C1571" s="807">
        <v>44565</v>
      </c>
      <c r="D1571" s="331">
        <f t="shared" si="12"/>
        <v>372842.39</v>
      </c>
      <c r="E1571" s="331">
        <v>372642.39</v>
      </c>
      <c r="F1571" s="479">
        <v>200</v>
      </c>
    </row>
    <row r="1572" spans="3:6" x14ac:dyDescent="0.2">
      <c r="C1572" s="807">
        <v>44566</v>
      </c>
      <c r="D1572" s="331">
        <f t="shared" si="12"/>
        <v>370078.36</v>
      </c>
      <c r="E1572" s="331">
        <v>369878.36</v>
      </c>
      <c r="F1572" s="479">
        <v>200</v>
      </c>
    </row>
    <row r="1573" spans="3:6" x14ac:dyDescent="0.2">
      <c r="C1573" s="807">
        <v>44567</v>
      </c>
      <c r="D1573" s="331">
        <f t="shared" si="12"/>
        <v>368257.32</v>
      </c>
      <c r="E1573" s="331">
        <v>368057.32</v>
      </c>
      <c r="F1573" s="479">
        <v>200</v>
      </c>
    </row>
    <row r="1574" spans="3:6" x14ac:dyDescent="0.2">
      <c r="C1574" s="807">
        <v>44568</v>
      </c>
      <c r="D1574" s="331">
        <f t="shared" si="12"/>
        <v>369146.3</v>
      </c>
      <c r="E1574" s="331">
        <v>368946.3</v>
      </c>
      <c r="F1574" s="479">
        <v>200</v>
      </c>
    </row>
    <row r="1575" spans="3:6" x14ac:dyDescent="0.2">
      <c r="C1575" s="807">
        <v>44571</v>
      </c>
      <c r="D1575" s="331">
        <f t="shared" si="12"/>
        <v>369146.3</v>
      </c>
      <c r="E1575" s="331">
        <f>E1574</f>
        <v>368946.3</v>
      </c>
      <c r="F1575" s="479">
        <v>200</v>
      </c>
    </row>
    <row r="1576" spans="3:6" x14ac:dyDescent="0.2">
      <c r="C1576" s="807">
        <v>44572</v>
      </c>
      <c r="D1576" s="331">
        <f t="shared" si="12"/>
        <v>369146.3</v>
      </c>
      <c r="E1576" s="331">
        <f>E1575</f>
        <v>368946.3</v>
      </c>
      <c r="F1576" s="479">
        <v>200</v>
      </c>
    </row>
    <row r="1577" spans="3:6" x14ac:dyDescent="0.2">
      <c r="C1577" s="807">
        <v>44573</v>
      </c>
      <c r="D1577" s="331">
        <f t="shared" si="12"/>
        <v>369146.3</v>
      </c>
      <c r="E1577" s="331">
        <f>E1576</f>
        <v>368946.3</v>
      </c>
      <c r="F1577" s="479">
        <v>200</v>
      </c>
    </row>
    <row r="1578" spans="3:6" x14ac:dyDescent="0.2">
      <c r="C1578" s="807">
        <v>44574</v>
      </c>
      <c r="D1578" s="331">
        <f t="shared" si="12"/>
        <v>369318.3</v>
      </c>
      <c r="E1578" s="331">
        <v>369118.3</v>
      </c>
      <c r="F1578" s="479">
        <v>200</v>
      </c>
    </row>
    <row r="1579" spans="3:6" x14ac:dyDescent="0.2">
      <c r="C1579" s="807">
        <v>44575</v>
      </c>
      <c r="D1579" s="331">
        <f t="shared" si="12"/>
        <v>369357.16</v>
      </c>
      <c r="E1579" s="331">
        <v>369157.16</v>
      </c>
      <c r="F1579" s="479">
        <v>200</v>
      </c>
    </row>
    <row r="1580" spans="3:6" x14ac:dyDescent="0.2">
      <c r="C1580" s="807">
        <v>44578</v>
      </c>
      <c r="D1580" s="331">
        <f t="shared" si="12"/>
        <v>369357.16</v>
      </c>
      <c r="E1580" s="331">
        <f>E1579</f>
        <v>369157.16</v>
      </c>
      <c r="F1580" s="479">
        <v>200</v>
      </c>
    </row>
    <row r="1581" spans="3:6" x14ac:dyDescent="0.2">
      <c r="C1581" s="807">
        <v>44579</v>
      </c>
      <c r="D1581" s="331">
        <f t="shared" si="12"/>
        <v>328912.42</v>
      </c>
      <c r="E1581" s="331">
        <v>328712.42</v>
      </c>
      <c r="F1581" s="479">
        <v>200</v>
      </c>
    </row>
    <row r="1582" spans="3:6" x14ac:dyDescent="0.2">
      <c r="C1582" s="807">
        <v>44580</v>
      </c>
      <c r="D1582" s="331">
        <f t="shared" si="12"/>
        <v>324854.01</v>
      </c>
      <c r="E1582" s="331">
        <v>324654.01</v>
      </c>
      <c r="F1582" s="479">
        <v>200</v>
      </c>
    </row>
    <row r="1583" spans="3:6" x14ac:dyDescent="0.2">
      <c r="C1583" s="807">
        <v>44581</v>
      </c>
      <c r="D1583" s="331">
        <f t="shared" si="12"/>
        <v>373026.22</v>
      </c>
      <c r="E1583" s="331">
        <v>372826.22</v>
      </c>
      <c r="F1583" s="479">
        <v>200</v>
      </c>
    </row>
    <row r="1584" spans="3:6" x14ac:dyDescent="0.2">
      <c r="C1584" s="807">
        <v>44582</v>
      </c>
      <c r="D1584" s="331">
        <f t="shared" si="12"/>
        <v>372715.39</v>
      </c>
      <c r="E1584" s="331">
        <v>372515.39</v>
      </c>
      <c r="F1584" s="479">
        <v>200</v>
      </c>
    </row>
    <row r="1585" spans="3:6" x14ac:dyDescent="0.2">
      <c r="C1585" s="807">
        <v>44585</v>
      </c>
      <c r="D1585" s="331">
        <f t="shared" si="12"/>
        <v>352413.78</v>
      </c>
      <c r="E1585" s="331">
        <v>352213.78</v>
      </c>
      <c r="F1585" s="479">
        <v>200</v>
      </c>
    </row>
    <row r="1586" spans="3:6" x14ac:dyDescent="0.2">
      <c r="C1586" s="807">
        <v>44586</v>
      </c>
      <c r="D1586" s="331">
        <f t="shared" si="12"/>
        <v>324543.71999999997</v>
      </c>
      <c r="E1586" s="331">
        <v>324343.71999999997</v>
      </c>
      <c r="F1586" s="479">
        <v>200</v>
      </c>
    </row>
    <row r="1587" spans="3:6" x14ac:dyDescent="0.2">
      <c r="C1587" s="807">
        <v>44587</v>
      </c>
      <c r="D1587" s="331">
        <f t="shared" si="12"/>
        <v>324510.76</v>
      </c>
      <c r="E1587" s="331">
        <v>324310.76</v>
      </c>
      <c r="F1587" s="479">
        <v>200</v>
      </c>
    </row>
    <row r="1588" spans="3:6" x14ac:dyDescent="0.2">
      <c r="C1588" s="807">
        <v>44588</v>
      </c>
      <c r="D1588" s="331">
        <f t="shared" si="12"/>
        <v>290902.11</v>
      </c>
      <c r="E1588" s="331">
        <v>290702.11</v>
      </c>
      <c r="F1588" s="479">
        <v>200</v>
      </c>
    </row>
    <row r="1589" spans="3:6" x14ac:dyDescent="0.2">
      <c r="C1589" s="807">
        <v>44589</v>
      </c>
      <c r="D1589" s="331">
        <f t="shared" si="12"/>
        <v>290902.11</v>
      </c>
      <c r="E1589" s="331">
        <f>E1588</f>
        <v>290702.11</v>
      </c>
      <c r="F1589" s="479">
        <v>200</v>
      </c>
    </row>
    <row r="1590" spans="3:6" x14ac:dyDescent="0.2">
      <c r="C1590" s="807">
        <v>44592</v>
      </c>
      <c r="D1590" s="331">
        <f t="shared" si="12"/>
        <v>309578.59999999998</v>
      </c>
      <c r="E1590" s="331">
        <v>309378.59999999998</v>
      </c>
      <c r="F1590" s="479">
        <v>200</v>
      </c>
    </row>
    <row r="1591" spans="3:6" x14ac:dyDescent="0.2">
      <c r="C1591" s="807">
        <v>44593</v>
      </c>
      <c r="D1591" s="331">
        <f t="shared" si="12"/>
        <v>292963.95</v>
      </c>
      <c r="E1591" s="331">
        <v>292763.95</v>
      </c>
      <c r="F1591" s="479">
        <v>200</v>
      </c>
    </row>
    <row r="1592" spans="3:6" x14ac:dyDescent="0.2">
      <c r="C1592" s="807">
        <v>44594</v>
      </c>
      <c r="D1592" s="331">
        <f t="shared" si="12"/>
        <v>345714.5</v>
      </c>
      <c r="E1592" s="331">
        <v>345514.5</v>
      </c>
      <c r="F1592" s="479">
        <v>200</v>
      </c>
    </row>
    <row r="1593" spans="3:6" x14ac:dyDescent="0.2">
      <c r="C1593" s="807">
        <v>44595</v>
      </c>
      <c r="D1593" s="331">
        <f t="shared" si="12"/>
        <v>344030.58</v>
      </c>
      <c r="E1593" s="331">
        <v>343830.58</v>
      </c>
      <c r="F1593" s="479">
        <v>200</v>
      </c>
    </row>
    <row r="1594" spans="3:6" x14ac:dyDescent="0.2">
      <c r="C1594" s="807">
        <v>44596</v>
      </c>
      <c r="D1594" s="331">
        <f t="shared" si="12"/>
        <v>387503.42</v>
      </c>
      <c r="E1594" s="331">
        <v>387303.42</v>
      </c>
      <c r="F1594" s="479">
        <v>200</v>
      </c>
    </row>
    <row r="1595" spans="3:6" x14ac:dyDescent="0.2">
      <c r="C1595" s="807">
        <v>44599</v>
      </c>
      <c r="D1595" s="331">
        <f t="shared" si="12"/>
        <v>387503.42</v>
      </c>
      <c r="E1595" s="331">
        <f>E1594</f>
        <v>387303.42</v>
      </c>
      <c r="F1595" s="479">
        <v>200</v>
      </c>
    </row>
    <row r="1596" spans="3:6" x14ac:dyDescent="0.2">
      <c r="C1596" s="807">
        <v>44600</v>
      </c>
      <c r="D1596" s="331">
        <f t="shared" si="12"/>
        <v>387503.42</v>
      </c>
      <c r="E1596" s="331">
        <f>E1595</f>
        <v>387303.42</v>
      </c>
      <c r="F1596" s="479">
        <v>200</v>
      </c>
    </row>
    <row r="1597" spans="3:6" x14ac:dyDescent="0.2">
      <c r="C1597" s="807">
        <v>44601</v>
      </c>
      <c r="D1597" s="331">
        <f t="shared" si="12"/>
        <v>387503.42</v>
      </c>
      <c r="E1597" s="331">
        <f>E1596</f>
        <v>387303.42</v>
      </c>
      <c r="F1597" s="479">
        <v>200</v>
      </c>
    </row>
    <row r="1598" spans="3:6" x14ac:dyDescent="0.2">
      <c r="C1598" s="807">
        <v>44602</v>
      </c>
      <c r="D1598" s="364">
        <f t="shared" si="12"/>
        <v>411517.59</v>
      </c>
      <c r="E1598" s="331">
        <v>411317.59</v>
      </c>
      <c r="F1598" s="479">
        <v>200</v>
      </c>
    </row>
    <row r="1599" spans="3:6" x14ac:dyDescent="0.2">
      <c r="C1599" s="807">
        <v>44603</v>
      </c>
      <c r="D1599" s="331">
        <f t="shared" si="12"/>
        <v>388476.71</v>
      </c>
      <c r="E1599" s="331">
        <v>388276.71</v>
      </c>
      <c r="F1599" s="479">
        <v>200</v>
      </c>
    </row>
    <row r="1600" spans="3:6" x14ac:dyDescent="0.2">
      <c r="C1600" s="807">
        <v>44606</v>
      </c>
      <c r="D1600" s="331">
        <f t="shared" si="12"/>
        <v>388476.71</v>
      </c>
      <c r="E1600" s="331">
        <f>E1599</f>
        <v>388276.71</v>
      </c>
      <c r="F1600" s="479">
        <v>200</v>
      </c>
    </row>
    <row r="1601" spans="3:6" x14ac:dyDescent="0.2">
      <c r="C1601" s="807">
        <v>44607</v>
      </c>
      <c r="D1601" s="331">
        <f t="shared" si="12"/>
        <v>350398.25</v>
      </c>
      <c r="E1601" s="331">
        <v>350198.25</v>
      </c>
      <c r="F1601" s="479">
        <v>200</v>
      </c>
    </row>
    <row r="1602" spans="3:6" x14ac:dyDescent="0.2">
      <c r="C1602" s="807">
        <v>44608</v>
      </c>
      <c r="D1602" s="331">
        <f t="shared" si="12"/>
        <v>350398.25</v>
      </c>
      <c r="E1602" s="331">
        <f>E1601</f>
        <v>350198.25</v>
      </c>
      <c r="F1602" s="479">
        <v>200</v>
      </c>
    </row>
    <row r="1603" spans="3:6" x14ac:dyDescent="0.2">
      <c r="C1603" s="807">
        <v>44609</v>
      </c>
      <c r="D1603" s="331">
        <f t="shared" si="12"/>
        <v>329726.17</v>
      </c>
      <c r="E1603" s="331">
        <v>329526.17</v>
      </c>
      <c r="F1603" s="479">
        <v>200</v>
      </c>
    </row>
    <row r="1604" spans="3:6" x14ac:dyDescent="0.2">
      <c r="C1604" s="807">
        <v>44610</v>
      </c>
      <c r="D1604" s="331">
        <f t="shared" si="12"/>
        <v>329566.19</v>
      </c>
      <c r="E1604" s="331">
        <v>329366.19</v>
      </c>
      <c r="F1604" s="479">
        <v>200</v>
      </c>
    </row>
    <row r="1605" spans="3:6" x14ac:dyDescent="0.2">
      <c r="C1605" s="807">
        <v>44613</v>
      </c>
      <c r="D1605" s="331">
        <f t="shared" si="12"/>
        <v>329566.19</v>
      </c>
      <c r="E1605" s="331">
        <f>E1604</f>
        <v>329366.19</v>
      </c>
      <c r="F1605" s="479">
        <v>200</v>
      </c>
    </row>
    <row r="1606" spans="3:6" x14ac:dyDescent="0.2">
      <c r="C1606" s="807">
        <v>44614</v>
      </c>
      <c r="D1606" s="331">
        <f t="shared" si="12"/>
        <v>329566.19</v>
      </c>
      <c r="E1606" s="331">
        <f>E1605</f>
        <v>329366.19</v>
      </c>
      <c r="F1606" s="479">
        <v>200</v>
      </c>
    </row>
    <row r="1607" spans="3:6" x14ac:dyDescent="0.2">
      <c r="C1607" s="807">
        <v>44615</v>
      </c>
      <c r="D1607" s="331">
        <f t="shared" si="12"/>
        <v>330827.17</v>
      </c>
      <c r="E1607" s="331">
        <v>330627.17</v>
      </c>
      <c r="F1607" s="479">
        <v>200</v>
      </c>
    </row>
    <row r="1608" spans="3:6" x14ac:dyDescent="0.2">
      <c r="C1608" s="807">
        <v>44616</v>
      </c>
      <c r="D1608" s="331">
        <f t="shared" si="12"/>
        <v>331382.17</v>
      </c>
      <c r="E1608" s="331">
        <v>331182.17</v>
      </c>
      <c r="F1608" s="479">
        <v>200</v>
      </c>
    </row>
    <row r="1609" spans="3:6" x14ac:dyDescent="0.2">
      <c r="C1609" s="807">
        <v>44617</v>
      </c>
      <c r="D1609" s="331">
        <f t="shared" si="12"/>
        <v>331382.17</v>
      </c>
      <c r="E1609" s="331">
        <f>E1608</f>
        <v>331182.17</v>
      </c>
      <c r="F1609" s="479">
        <v>200</v>
      </c>
    </row>
    <row r="1610" spans="3:6" x14ac:dyDescent="0.2">
      <c r="C1610" s="807">
        <v>44620</v>
      </c>
      <c r="D1610" s="331">
        <f t="shared" si="12"/>
        <v>331382.17</v>
      </c>
      <c r="E1610" s="331">
        <f>E1609</f>
        <v>331182.17</v>
      </c>
      <c r="F1610" s="479">
        <v>200</v>
      </c>
    </row>
    <row r="1611" spans="3:6" x14ac:dyDescent="0.2">
      <c r="C1611" s="807">
        <v>44621</v>
      </c>
      <c r="D1611" s="331">
        <f t="shared" si="12"/>
        <v>293888.99</v>
      </c>
      <c r="E1611" s="331">
        <v>293688.99</v>
      </c>
      <c r="F1611" s="479">
        <v>200</v>
      </c>
    </row>
    <row r="1612" spans="3:6" x14ac:dyDescent="0.2">
      <c r="C1612" s="807">
        <v>44622</v>
      </c>
      <c r="D1612" s="331">
        <f t="shared" si="12"/>
        <v>321342.32</v>
      </c>
      <c r="E1612" s="331">
        <v>321142.32</v>
      </c>
      <c r="F1612" s="479">
        <v>200</v>
      </c>
    </row>
    <row r="1613" spans="3:6" x14ac:dyDescent="0.2">
      <c r="C1613" s="807">
        <v>44623</v>
      </c>
      <c r="D1613" s="331">
        <f t="shared" si="12"/>
        <v>328875.55</v>
      </c>
      <c r="E1613" s="331">
        <v>328675.55</v>
      </c>
      <c r="F1613" s="479">
        <v>200</v>
      </c>
    </row>
    <row r="1614" spans="3:6" x14ac:dyDescent="0.2">
      <c r="C1614" s="807">
        <v>44624</v>
      </c>
      <c r="D1614" s="331">
        <f t="shared" si="12"/>
        <v>311978.17</v>
      </c>
      <c r="E1614" s="331">
        <v>311778.17</v>
      </c>
      <c r="F1614" s="479">
        <v>200</v>
      </c>
    </row>
    <row r="1615" spans="3:6" x14ac:dyDescent="0.2">
      <c r="C1615" s="807">
        <v>44627</v>
      </c>
      <c r="D1615" s="331">
        <f t="shared" si="12"/>
        <v>311978.17</v>
      </c>
      <c r="E1615" s="331">
        <f>E1614</f>
        <v>311778.17</v>
      </c>
      <c r="F1615" s="479">
        <v>200</v>
      </c>
    </row>
    <row r="1616" spans="3:6" x14ac:dyDescent="0.2">
      <c r="C1616" s="807">
        <v>44628</v>
      </c>
      <c r="D1616" s="331">
        <f t="shared" si="12"/>
        <v>323791.65000000002</v>
      </c>
      <c r="E1616" s="331">
        <v>323591.65000000002</v>
      </c>
      <c r="F1616" s="479">
        <v>200</v>
      </c>
    </row>
    <row r="1617" spans="3:6" x14ac:dyDescent="0.2">
      <c r="C1617" s="807">
        <v>44629</v>
      </c>
      <c r="D1617" s="331">
        <f t="shared" si="12"/>
        <v>323791.65000000002</v>
      </c>
      <c r="E1617" s="331">
        <f>E1616</f>
        <v>323591.65000000002</v>
      </c>
      <c r="F1617" s="479">
        <v>200</v>
      </c>
    </row>
    <row r="1618" spans="3:6" x14ac:dyDescent="0.2">
      <c r="C1618" s="807">
        <v>44630</v>
      </c>
      <c r="D1618" s="331">
        <f t="shared" si="12"/>
        <v>304395.95</v>
      </c>
      <c r="E1618" s="331">
        <v>304195.95</v>
      </c>
      <c r="F1618" s="479">
        <v>200</v>
      </c>
    </row>
    <row r="1619" spans="3:6" x14ac:dyDescent="0.2">
      <c r="C1619" s="807">
        <v>44631</v>
      </c>
      <c r="D1619" s="331">
        <f t="shared" si="12"/>
        <v>304395.95</v>
      </c>
      <c r="E1619" s="331">
        <f>E1618</f>
        <v>304195.95</v>
      </c>
      <c r="F1619" s="479">
        <v>200</v>
      </c>
    </row>
    <row r="1620" spans="3:6" x14ac:dyDescent="0.2">
      <c r="C1620" s="807">
        <v>44634</v>
      </c>
      <c r="D1620" s="331">
        <f t="shared" si="12"/>
        <v>304395.95</v>
      </c>
      <c r="E1620" s="331">
        <f>E1619</f>
        <v>304195.95</v>
      </c>
      <c r="F1620" s="479">
        <v>200</v>
      </c>
    </row>
    <row r="1621" spans="3:6" x14ac:dyDescent="0.2">
      <c r="C1621" s="807">
        <v>44635</v>
      </c>
      <c r="D1621" s="331">
        <f t="shared" si="12"/>
        <v>354177.58</v>
      </c>
      <c r="E1621" s="331">
        <v>353977.58</v>
      </c>
      <c r="F1621" s="479">
        <v>200</v>
      </c>
    </row>
    <row r="1622" spans="3:6" x14ac:dyDescent="0.2">
      <c r="C1622" s="807">
        <v>44636</v>
      </c>
      <c r="D1622" s="331">
        <f t="shared" si="12"/>
        <v>354177.58</v>
      </c>
      <c r="E1622" s="331">
        <f>E1621</f>
        <v>353977.58</v>
      </c>
      <c r="F1622" s="479">
        <v>200</v>
      </c>
    </row>
    <row r="1623" spans="3:6" x14ac:dyDescent="0.2">
      <c r="C1623" s="807">
        <v>44637</v>
      </c>
      <c r="D1623" s="331">
        <f t="shared" si="12"/>
        <v>272443</v>
      </c>
      <c r="E1623" s="331">
        <v>272243</v>
      </c>
      <c r="F1623" s="479">
        <v>200</v>
      </c>
    </row>
    <row r="1624" spans="3:6" x14ac:dyDescent="0.2">
      <c r="C1624" s="807">
        <v>44638</v>
      </c>
      <c r="D1624" s="331">
        <f t="shared" si="12"/>
        <v>271968.02</v>
      </c>
      <c r="E1624" s="331">
        <v>271768.02</v>
      </c>
      <c r="F1624" s="479">
        <v>200</v>
      </c>
    </row>
    <row r="1625" spans="3:6" x14ac:dyDescent="0.2">
      <c r="C1625" s="807">
        <v>44641</v>
      </c>
      <c r="D1625" s="331">
        <f t="shared" si="12"/>
        <v>287143.02</v>
      </c>
      <c r="E1625" s="331">
        <v>286943.02</v>
      </c>
      <c r="F1625" s="479">
        <v>200</v>
      </c>
    </row>
    <row r="1626" spans="3:6" x14ac:dyDescent="0.2">
      <c r="C1626" s="807">
        <v>44642</v>
      </c>
      <c r="D1626" s="331">
        <f t="shared" si="12"/>
        <v>287143.02</v>
      </c>
      <c r="E1626" s="331">
        <f>E1625</f>
        <v>286943.02</v>
      </c>
      <c r="F1626" s="479">
        <v>200</v>
      </c>
    </row>
    <row r="1627" spans="3:6" x14ac:dyDescent="0.2">
      <c r="C1627" s="807">
        <v>44643</v>
      </c>
      <c r="D1627" s="331">
        <f t="shared" si="12"/>
        <v>171561.3</v>
      </c>
      <c r="E1627" s="331">
        <v>171361.3</v>
      </c>
      <c r="F1627" s="479">
        <v>200</v>
      </c>
    </row>
    <row r="1628" spans="3:6" x14ac:dyDescent="0.2">
      <c r="C1628" s="807">
        <v>44644</v>
      </c>
      <c r="D1628" s="331">
        <f t="shared" si="12"/>
        <v>171561.3</v>
      </c>
      <c r="E1628" s="331">
        <f>E1627</f>
        <v>171361.3</v>
      </c>
      <c r="F1628" s="479">
        <v>200</v>
      </c>
    </row>
    <row r="1629" spans="3:6" x14ac:dyDescent="0.2">
      <c r="C1629" s="807">
        <v>44645</v>
      </c>
      <c r="D1629" s="331">
        <f t="shared" si="12"/>
        <v>194069.16</v>
      </c>
      <c r="E1629" s="331">
        <v>193869.16</v>
      </c>
      <c r="F1629" s="479">
        <v>200</v>
      </c>
    </row>
    <row r="1630" spans="3:6" x14ac:dyDescent="0.2">
      <c r="C1630" s="807">
        <v>44648</v>
      </c>
      <c r="D1630" s="331">
        <f t="shared" si="12"/>
        <v>184965.34</v>
      </c>
      <c r="E1630" s="331">
        <v>184765.34</v>
      </c>
      <c r="F1630" s="479">
        <v>200</v>
      </c>
    </row>
    <row r="1631" spans="3:6" x14ac:dyDescent="0.2">
      <c r="C1631" s="807">
        <v>44649</v>
      </c>
      <c r="D1631" s="331">
        <f t="shared" si="12"/>
        <v>140741.59</v>
      </c>
      <c r="E1631" s="331">
        <v>140541.59</v>
      </c>
      <c r="F1631" s="479">
        <v>200</v>
      </c>
    </row>
    <row r="1632" spans="3:6" x14ac:dyDescent="0.2">
      <c r="C1632" s="807">
        <v>44650</v>
      </c>
      <c r="D1632" s="364">
        <f t="shared" si="12"/>
        <v>140708.63</v>
      </c>
      <c r="E1632" s="331">
        <v>140508.63</v>
      </c>
      <c r="F1632" s="479">
        <v>200</v>
      </c>
    </row>
    <row r="1633" spans="3:6" x14ac:dyDescent="0.2">
      <c r="C1633" s="807">
        <v>44651</v>
      </c>
      <c r="D1633" s="331">
        <f t="shared" si="12"/>
        <v>281239.25</v>
      </c>
      <c r="E1633" s="331">
        <v>281039.25</v>
      </c>
      <c r="F1633" s="479">
        <v>200</v>
      </c>
    </row>
    <row r="1634" spans="3:6" x14ac:dyDescent="0.2">
      <c r="C1634" s="807">
        <v>44652</v>
      </c>
      <c r="D1634" s="331">
        <f t="shared" si="12"/>
        <v>283716.02</v>
      </c>
      <c r="E1634" s="331">
        <v>283516.02</v>
      </c>
      <c r="F1634" s="479">
        <v>200</v>
      </c>
    </row>
    <row r="1635" spans="3:6" x14ac:dyDescent="0.2">
      <c r="C1635" s="807">
        <v>44655</v>
      </c>
      <c r="D1635" s="331">
        <f t="shared" si="12"/>
        <v>283716.02</v>
      </c>
      <c r="E1635" s="331">
        <f>E1634</f>
        <v>283516.02</v>
      </c>
      <c r="F1635" s="479">
        <v>200</v>
      </c>
    </row>
    <row r="1636" spans="3:6" x14ac:dyDescent="0.2">
      <c r="C1636" s="807">
        <v>44656</v>
      </c>
      <c r="D1636" s="331">
        <f t="shared" si="12"/>
        <v>300477.89</v>
      </c>
      <c r="E1636" s="331">
        <v>300277.89</v>
      </c>
      <c r="F1636" s="479">
        <v>200</v>
      </c>
    </row>
    <row r="1637" spans="3:6" x14ac:dyDescent="0.2">
      <c r="C1637" s="807">
        <v>44657</v>
      </c>
      <c r="D1637" s="331">
        <f t="shared" si="12"/>
        <v>300477.89</v>
      </c>
      <c r="E1637" s="331">
        <f>E1636</f>
        <v>300277.89</v>
      </c>
      <c r="F1637" s="479">
        <v>200</v>
      </c>
    </row>
    <row r="1638" spans="3:6" x14ac:dyDescent="0.2">
      <c r="C1638" s="807">
        <v>44658</v>
      </c>
      <c r="D1638" s="331">
        <f t="shared" si="12"/>
        <v>301029.09000000003</v>
      </c>
      <c r="E1638" s="331">
        <v>300829.09000000003</v>
      </c>
      <c r="F1638" s="479">
        <v>200</v>
      </c>
    </row>
    <row r="1639" spans="3:6" x14ac:dyDescent="0.2">
      <c r="C1639" s="807">
        <v>44659</v>
      </c>
      <c r="D1639" s="331">
        <f t="shared" si="12"/>
        <v>296794.44</v>
      </c>
      <c r="E1639" s="331">
        <v>296594.44</v>
      </c>
      <c r="F1639" s="479">
        <v>200</v>
      </c>
    </row>
    <row r="1640" spans="3:6" x14ac:dyDescent="0.2">
      <c r="C1640" s="807">
        <v>44662</v>
      </c>
      <c r="D1640" s="331">
        <f t="shared" si="12"/>
        <v>296989.44</v>
      </c>
      <c r="E1640" s="331">
        <v>296789.44</v>
      </c>
      <c r="F1640" s="479">
        <v>200</v>
      </c>
    </row>
    <row r="1641" spans="3:6" x14ac:dyDescent="0.2">
      <c r="C1641" s="807">
        <v>44663</v>
      </c>
      <c r="D1641" s="331">
        <f t="shared" si="12"/>
        <v>274755.46000000002</v>
      </c>
      <c r="E1641" s="331">
        <v>274555.46000000002</v>
      </c>
      <c r="F1641" s="479">
        <v>200</v>
      </c>
    </row>
    <row r="1642" spans="3:6" x14ac:dyDescent="0.2">
      <c r="C1642" s="807">
        <v>44664</v>
      </c>
      <c r="D1642" s="331">
        <f t="shared" si="12"/>
        <v>274755.46000000002</v>
      </c>
      <c r="E1642" s="331">
        <f>E1641</f>
        <v>274555.46000000002</v>
      </c>
      <c r="F1642" s="479">
        <v>200</v>
      </c>
    </row>
    <row r="1643" spans="3:6" x14ac:dyDescent="0.2">
      <c r="C1643" s="807">
        <v>44665</v>
      </c>
      <c r="D1643" s="331">
        <f t="shared" si="12"/>
        <v>273817.88</v>
      </c>
      <c r="E1643" s="331">
        <v>273617.88</v>
      </c>
      <c r="F1643" s="479">
        <v>200</v>
      </c>
    </row>
    <row r="1644" spans="3:6" x14ac:dyDescent="0.2">
      <c r="C1644" s="807">
        <v>44666</v>
      </c>
      <c r="D1644" s="331">
        <f t="shared" si="12"/>
        <v>273375.03999999998</v>
      </c>
      <c r="E1644" s="331">
        <v>273175.03999999998</v>
      </c>
      <c r="F1644" s="479">
        <v>200</v>
      </c>
    </row>
    <row r="1645" spans="3:6" x14ac:dyDescent="0.2">
      <c r="C1645" s="807">
        <v>44669</v>
      </c>
      <c r="D1645" s="331">
        <f t="shared" si="12"/>
        <v>306978.36</v>
      </c>
      <c r="E1645" s="331">
        <v>306778.36</v>
      </c>
      <c r="F1645" s="479">
        <v>200</v>
      </c>
    </row>
    <row r="1646" spans="3:6" x14ac:dyDescent="0.2">
      <c r="C1646" s="807">
        <v>44670</v>
      </c>
      <c r="D1646" s="331">
        <f t="shared" si="12"/>
        <v>306978.36</v>
      </c>
      <c r="E1646" s="331">
        <f>E1645</f>
        <v>306778.36</v>
      </c>
      <c r="F1646" s="479">
        <v>200</v>
      </c>
    </row>
    <row r="1647" spans="3:6" x14ac:dyDescent="0.2">
      <c r="C1647" s="807">
        <v>44671</v>
      </c>
      <c r="D1647" s="331">
        <f t="shared" si="12"/>
        <v>266613.8</v>
      </c>
      <c r="E1647" s="331">
        <v>266413.8</v>
      </c>
      <c r="F1647" s="479">
        <v>200</v>
      </c>
    </row>
    <row r="1648" spans="3:6" x14ac:dyDescent="0.2">
      <c r="C1648" s="807">
        <v>44672</v>
      </c>
      <c r="D1648" s="331">
        <f t="shared" si="12"/>
        <v>271838.33</v>
      </c>
      <c r="E1648" s="331">
        <v>271638.33</v>
      </c>
      <c r="F1648" s="479">
        <v>200</v>
      </c>
    </row>
    <row r="1649" spans="3:6" x14ac:dyDescent="0.2">
      <c r="C1649" s="807">
        <v>44673</v>
      </c>
      <c r="D1649" s="331">
        <f t="shared" si="12"/>
        <v>271679.48</v>
      </c>
      <c r="E1649" s="331">
        <v>271479.48</v>
      </c>
      <c r="F1649" s="479">
        <v>200</v>
      </c>
    </row>
    <row r="1650" spans="3:6" x14ac:dyDescent="0.2">
      <c r="C1650" s="807">
        <v>44676</v>
      </c>
      <c r="D1650" s="331">
        <f t="shared" si="12"/>
        <v>271679.48</v>
      </c>
      <c r="E1650" s="331">
        <f t="shared" ref="E1650:E1656" si="13">E1649</f>
        <v>271479.48</v>
      </c>
      <c r="F1650" s="479">
        <v>200</v>
      </c>
    </row>
    <row r="1651" spans="3:6" x14ac:dyDescent="0.2">
      <c r="C1651" s="807">
        <v>44677</v>
      </c>
      <c r="D1651" s="331">
        <f t="shared" si="12"/>
        <v>231449.55</v>
      </c>
      <c r="E1651" s="331">
        <v>231249.55</v>
      </c>
      <c r="F1651" s="479">
        <v>200</v>
      </c>
    </row>
    <row r="1652" spans="3:6" x14ac:dyDescent="0.2">
      <c r="C1652" s="807">
        <v>44678</v>
      </c>
      <c r="D1652" s="331">
        <f t="shared" si="12"/>
        <v>255926.54</v>
      </c>
      <c r="E1652" s="331">
        <v>255726.54</v>
      </c>
      <c r="F1652" s="479">
        <v>200</v>
      </c>
    </row>
    <row r="1653" spans="3:6" x14ac:dyDescent="0.2">
      <c r="C1653" s="807">
        <v>44679</v>
      </c>
      <c r="D1653" s="331">
        <f t="shared" si="12"/>
        <v>256457.54</v>
      </c>
      <c r="E1653" s="331">
        <v>256257.54</v>
      </c>
      <c r="F1653" s="479">
        <v>200</v>
      </c>
    </row>
    <row r="1654" spans="3:6" x14ac:dyDescent="0.2">
      <c r="C1654" s="807">
        <v>44680</v>
      </c>
      <c r="D1654" s="331">
        <f t="shared" si="12"/>
        <v>255982.56</v>
      </c>
      <c r="E1654" s="331">
        <v>255782.56</v>
      </c>
      <c r="F1654" s="479">
        <v>200</v>
      </c>
    </row>
    <row r="1655" spans="3:6" x14ac:dyDescent="0.2">
      <c r="C1655" s="807">
        <v>44683</v>
      </c>
      <c r="D1655" s="331">
        <f t="shared" si="12"/>
        <v>255982.56</v>
      </c>
      <c r="E1655" s="331">
        <f t="shared" si="13"/>
        <v>255782.56</v>
      </c>
      <c r="F1655" s="479">
        <v>200</v>
      </c>
    </row>
    <row r="1656" spans="3:6" x14ac:dyDescent="0.2">
      <c r="C1656" s="807">
        <v>44684</v>
      </c>
      <c r="D1656" s="331">
        <f t="shared" ref="D1656:D1719" si="14">E1656+F1656</f>
        <v>255982.56</v>
      </c>
      <c r="E1656" s="331">
        <f t="shared" si="13"/>
        <v>255782.56</v>
      </c>
      <c r="F1656" s="479">
        <v>200</v>
      </c>
    </row>
    <row r="1657" spans="3:6" x14ac:dyDescent="0.2">
      <c r="C1657" s="807">
        <v>44685</v>
      </c>
      <c r="D1657" s="331">
        <f t="shared" si="14"/>
        <v>237408.49</v>
      </c>
      <c r="E1657" s="331">
        <v>237208.49</v>
      </c>
      <c r="F1657" s="479">
        <v>200</v>
      </c>
    </row>
    <row r="1658" spans="3:6" x14ac:dyDescent="0.2">
      <c r="C1658" s="807">
        <v>44686</v>
      </c>
      <c r="D1658" s="331">
        <f t="shared" si="14"/>
        <v>237595.16</v>
      </c>
      <c r="E1658" s="331">
        <v>237395.16</v>
      </c>
      <c r="F1658" s="479">
        <v>200</v>
      </c>
    </row>
    <row r="1659" spans="3:6" x14ac:dyDescent="0.2">
      <c r="C1659" s="807">
        <v>44687</v>
      </c>
      <c r="D1659" s="331">
        <f t="shared" si="14"/>
        <v>237595.16</v>
      </c>
      <c r="E1659" s="331">
        <f>E1658</f>
        <v>237395.16</v>
      </c>
      <c r="F1659" s="479">
        <v>200</v>
      </c>
    </row>
    <row r="1660" spans="3:6" x14ac:dyDescent="0.2">
      <c r="C1660" s="807">
        <v>44690</v>
      </c>
      <c r="D1660" s="331">
        <f t="shared" si="14"/>
        <v>237595.16</v>
      </c>
      <c r="E1660" s="331">
        <f>E1659</f>
        <v>237395.16</v>
      </c>
      <c r="F1660" s="479">
        <v>200</v>
      </c>
    </row>
    <row r="1661" spans="3:6" x14ac:dyDescent="0.2">
      <c r="C1661" s="807">
        <v>44691</v>
      </c>
      <c r="D1661" s="331">
        <f t="shared" si="14"/>
        <v>198176.08</v>
      </c>
      <c r="E1661" s="331">
        <v>197976.08</v>
      </c>
      <c r="F1661" s="479">
        <v>200</v>
      </c>
    </row>
    <row r="1662" spans="3:6" x14ac:dyDescent="0.2">
      <c r="C1662" s="807">
        <v>44692</v>
      </c>
      <c r="D1662" s="331">
        <f t="shared" si="14"/>
        <v>206509.41</v>
      </c>
      <c r="E1662" s="331">
        <v>206309.41</v>
      </c>
      <c r="F1662" s="479">
        <v>200</v>
      </c>
    </row>
    <row r="1663" spans="3:6" x14ac:dyDescent="0.2">
      <c r="C1663" s="807">
        <v>44693</v>
      </c>
      <c r="D1663" s="331">
        <f t="shared" si="14"/>
        <v>196309.39</v>
      </c>
      <c r="E1663" s="331">
        <v>196109.39</v>
      </c>
      <c r="F1663" s="479">
        <v>200</v>
      </c>
    </row>
    <row r="1664" spans="3:6" x14ac:dyDescent="0.2">
      <c r="C1664" s="807">
        <v>44694</v>
      </c>
      <c r="D1664" s="331">
        <f t="shared" si="14"/>
        <v>217592.12</v>
      </c>
      <c r="E1664" s="331">
        <v>217392.12</v>
      </c>
      <c r="F1664" s="479">
        <v>200</v>
      </c>
    </row>
    <row r="1665" spans="3:6" x14ac:dyDescent="0.2">
      <c r="C1665" s="807">
        <v>44697</v>
      </c>
      <c r="D1665" s="331">
        <f t="shared" si="14"/>
        <v>217592.12</v>
      </c>
      <c r="E1665" s="331">
        <f t="shared" ref="E1665:E1707" si="15">E1664</f>
        <v>217392.12</v>
      </c>
      <c r="F1665" s="479">
        <v>200</v>
      </c>
    </row>
    <row r="1666" spans="3:6" x14ac:dyDescent="0.2">
      <c r="C1666" s="807">
        <v>44698</v>
      </c>
      <c r="D1666" s="331">
        <f t="shared" si="14"/>
        <v>217592.12</v>
      </c>
      <c r="E1666" s="331">
        <f t="shared" si="15"/>
        <v>217392.12</v>
      </c>
      <c r="F1666" s="479">
        <v>200</v>
      </c>
    </row>
    <row r="1667" spans="3:6" x14ac:dyDescent="0.2">
      <c r="C1667" s="807">
        <v>44699</v>
      </c>
      <c r="D1667" s="331">
        <f t="shared" si="14"/>
        <v>217592.12</v>
      </c>
      <c r="E1667" s="331">
        <f t="shared" si="15"/>
        <v>217392.12</v>
      </c>
      <c r="F1667" s="479">
        <v>200</v>
      </c>
    </row>
    <row r="1668" spans="3:6" x14ac:dyDescent="0.2">
      <c r="C1668" s="807">
        <v>44700</v>
      </c>
      <c r="D1668" s="331">
        <f t="shared" si="14"/>
        <v>221731.08</v>
      </c>
      <c r="E1668" s="331">
        <v>221531.08</v>
      </c>
      <c r="F1668" s="479">
        <v>200</v>
      </c>
    </row>
    <row r="1669" spans="3:6" x14ac:dyDescent="0.2">
      <c r="C1669" s="807">
        <v>44701</v>
      </c>
      <c r="D1669" s="331">
        <f t="shared" si="14"/>
        <v>217798.74</v>
      </c>
      <c r="E1669" s="331">
        <v>217598.74</v>
      </c>
      <c r="F1669" s="479">
        <v>200</v>
      </c>
    </row>
    <row r="1670" spans="3:6" x14ac:dyDescent="0.2">
      <c r="C1670" s="807">
        <v>44704</v>
      </c>
      <c r="D1670" s="331">
        <f t="shared" si="14"/>
        <v>176485.8</v>
      </c>
      <c r="E1670" s="331">
        <v>176285.8</v>
      </c>
      <c r="F1670" s="479">
        <v>200</v>
      </c>
    </row>
    <row r="1671" spans="3:6" x14ac:dyDescent="0.2">
      <c r="C1671" s="807">
        <v>44705</v>
      </c>
      <c r="D1671" s="331">
        <f t="shared" si="14"/>
        <v>176485.8</v>
      </c>
      <c r="E1671" s="331">
        <f t="shared" si="15"/>
        <v>176285.8</v>
      </c>
      <c r="F1671" s="479">
        <v>200</v>
      </c>
    </row>
    <row r="1672" spans="3:6" x14ac:dyDescent="0.2">
      <c r="C1672" s="807">
        <v>44706</v>
      </c>
      <c r="D1672" s="331">
        <f t="shared" si="14"/>
        <v>176485.8</v>
      </c>
      <c r="E1672" s="331">
        <f t="shared" si="15"/>
        <v>176285.8</v>
      </c>
      <c r="F1672" s="479">
        <v>200</v>
      </c>
    </row>
    <row r="1673" spans="3:6" x14ac:dyDescent="0.2">
      <c r="C1673" s="807">
        <v>44707</v>
      </c>
      <c r="D1673" s="331">
        <f t="shared" si="14"/>
        <v>317719.40999999997</v>
      </c>
      <c r="E1673" s="331">
        <v>317519.40999999997</v>
      </c>
      <c r="F1673" s="479">
        <v>200</v>
      </c>
    </row>
    <row r="1674" spans="3:6" x14ac:dyDescent="0.2">
      <c r="C1674" s="807">
        <v>44708</v>
      </c>
      <c r="D1674" s="331">
        <f t="shared" si="14"/>
        <v>317244.43</v>
      </c>
      <c r="E1674" s="331">
        <v>317044.43</v>
      </c>
      <c r="F1674" s="479">
        <v>200</v>
      </c>
    </row>
    <row r="1675" spans="3:6" x14ac:dyDescent="0.2">
      <c r="C1675" s="807">
        <v>44711</v>
      </c>
      <c r="D1675" s="331">
        <f t="shared" si="14"/>
        <v>317244.43</v>
      </c>
      <c r="E1675" s="331">
        <f t="shared" si="15"/>
        <v>317044.43</v>
      </c>
      <c r="F1675" s="479">
        <v>200</v>
      </c>
    </row>
    <row r="1676" spans="3:6" x14ac:dyDescent="0.2">
      <c r="C1676" s="807">
        <v>44712</v>
      </c>
      <c r="D1676" s="331">
        <f t="shared" si="14"/>
        <v>317244.43</v>
      </c>
      <c r="E1676" s="331">
        <f t="shared" si="15"/>
        <v>317044.43</v>
      </c>
      <c r="F1676" s="479">
        <v>200</v>
      </c>
    </row>
    <row r="1677" spans="3:6" x14ac:dyDescent="0.2">
      <c r="C1677" s="807">
        <v>44713</v>
      </c>
      <c r="D1677" s="331">
        <f t="shared" si="14"/>
        <v>317244.43</v>
      </c>
      <c r="E1677" s="331">
        <f t="shared" si="15"/>
        <v>317044.43</v>
      </c>
      <c r="F1677" s="479">
        <v>200</v>
      </c>
    </row>
    <row r="1678" spans="3:6" x14ac:dyDescent="0.2">
      <c r="C1678" s="807">
        <v>44714</v>
      </c>
      <c r="D1678" s="331">
        <f t="shared" si="14"/>
        <v>317244.43</v>
      </c>
      <c r="E1678" s="331">
        <f t="shared" si="15"/>
        <v>317044.43</v>
      </c>
      <c r="F1678" s="479">
        <v>200</v>
      </c>
    </row>
    <row r="1679" spans="3:6" x14ac:dyDescent="0.2">
      <c r="C1679" s="807">
        <v>44715</v>
      </c>
      <c r="D1679" s="331">
        <f t="shared" si="14"/>
        <v>311632.77</v>
      </c>
      <c r="E1679" s="331">
        <v>311432.77</v>
      </c>
      <c r="F1679" s="479">
        <v>200</v>
      </c>
    </row>
    <row r="1680" spans="3:6" x14ac:dyDescent="0.2">
      <c r="C1680" s="807">
        <v>44718</v>
      </c>
      <c r="D1680" s="331">
        <f t="shared" si="14"/>
        <v>311632.77</v>
      </c>
      <c r="E1680" s="331">
        <f t="shared" si="15"/>
        <v>311432.77</v>
      </c>
      <c r="F1680" s="479">
        <v>200</v>
      </c>
    </row>
    <row r="1681" spans="3:6" x14ac:dyDescent="0.2">
      <c r="C1681" s="807">
        <v>44719</v>
      </c>
      <c r="D1681" s="331">
        <f t="shared" si="14"/>
        <v>272576.3</v>
      </c>
      <c r="E1681" s="331">
        <v>272376.3</v>
      </c>
      <c r="F1681" s="479">
        <v>200</v>
      </c>
    </row>
    <row r="1682" spans="3:6" x14ac:dyDescent="0.2">
      <c r="C1682" s="807">
        <v>44720</v>
      </c>
      <c r="D1682" s="331">
        <f t="shared" si="14"/>
        <v>272576.3</v>
      </c>
      <c r="E1682" s="331">
        <f t="shared" si="15"/>
        <v>272376.3</v>
      </c>
      <c r="F1682" s="479">
        <v>200</v>
      </c>
    </row>
    <row r="1683" spans="3:6" x14ac:dyDescent="0.2">
      <c r="C1683" s="807">
        <v>44721</v>
      </c>
      <c r="D1683" s="331">
        <f t="shared" si="14"/>
        <v>262789.33</v>
      </c>
      <c r="E1683" s="331">
        <v>262589.33</v>
      </c>
      <c r="F1683" s="479">
        <v>200</v>
      </c>
    </row>
    <row r="1684" spans="3:6" x14ac:dyDescent="0.2">
      <c r="C1684" s="807">
        <v>44722</v>
      </c>
      <c r="D1684" s="331">
        <f t="shared" si="14"/>
        <v>262314.34999999998</v>
      </c>
      <c r="E1684" s="331">
        <v>262114.35</v>
      </c>
      <c r="F1684" s="479">
        <v>200</v>
      </c>
    </row>
    <row r="1685" spans="3:6" x14ac:dyDescent="0.2">
      <c r="C1685" s="807">
        <v>44725</v>
      </c>
      <c r="D1685" s="331">
        <f t="shared" si="14"/>
        <v>262577.34999999998</v>
      </c>
      <c r="E1685" s="331">
        <v>262377.34999999998</v>
      </c>
      <c r="F1685" s="479">
        <v>200</v>
      </c>
    </row>
    <row r="1686" spans="3:6" x14ac:dyDescent="0.2">
      <c r="C1686" s="807">
        <v>44726</v>
      </c>
      <c r="D1686" s="331">
        <f t="shared" si="14"/>
        <v>262577.34999999998</v>
      </c>
      <c r="E1686" s="331">
        <f t="shared" si="15"/>
        <v>262377.34999999998</v>
      </c>
      <c r="F1686" s="479">
        <v>200</v>
      </c>
    </row>
    <row r="1687" spans="3:6" x14ac:dyDescent="0.2">
      <c r="C1687" s="807">
        <v>44727</v>
      </c>
      <c r="D1687" s="331">
        <f t="shared" si="14"/>
        <v>359115.13</v>
      </c>
      <c r="E1687" s="331">
        <v>358915.13</v>
      </c>
      <c r="F1687" s="479">
        <v>200</v>
      </c>
    </row>
    <row r="1688" spans="3:6" x14ac:dyDescent="0.2">
      <c r="C1688" s="807">
        <v>44728</v>
      </c>
      <c r="D1688" s="331">
        <f t="shared" si="14"/>
        <v>359115.13</v>
      </c>
      <c r="E1688" s="331">
        <f t="shared" si="15"/>
        <v>358915.13</v>
      </c>
      <c r="F1688" s="479">
        <v>200</v>
      </c>
    </row>
    <row r="1689" spans="3:6" x14ac:dyDescent="0.2">
      <c r="C1689" s="807">
        <v>44729</v>
      </c>
      <c r="D1689" s="331">
        <f t="shared" si="14"/>
        <v>359115.13</v>
      </c>
      <c r="E1689" s="331">
        <f t="shared" si="15"/>
        <v>358915.13</v>
      </c>
      <c r="F1689" s="479">
        <v>200</v>
      </c>
    </row>
    <row r="1690" spans="3:6" x14ac:dyDescent="0.2">
      <c r="C1690" s="807">
        <v>44732</v>
      </c>
      <c r="D1690" s="331">
        <f t="shared" si="14"/>
        <v>317912.34000000003</v>
      </c>
      <c r="E1690" s="331">
        <v>317712.34000000003</v>
      </c>
      <c r="F1690" s="479">
        <v>200</v>
      </c>
    </row>
    <row r="1691" spans="3:6" x14ac:dyDescent="0.2">
      <c r="C1691" s="807">
        <v>44733</v>
      </c>
      <c r="D1691" s="331">
        <f t="shared" si="14"/>
        <v>318373.34000000003</v>
      </c>
      <c r="E1691" s="331">
        <v>318173.34000000003</v>
      </c>
      <c r="F1691" s="479">
        <v>200</v>
      </c>
    </row>
    <row r="1692" spans="3:6" x14ac:dyDescent="0.2">
      <c r="C1692" s="807">
        <v>44734</v>
      </c>
      <c r="D1692" s="331">
        <f t="shared" si="14"/>
        <v>319350.08</v>
      </c>
      <c r="E1692" s="331">
        <v>319150.08000000002</v>
      </c>
      <c r="F1692" s="479">
        <v>200</v>
      </c>
    </row>
    <row r="1693" spans="3:6" x14ac:dyDescent="0.2">
      <c r="C1693" s="807">
        <v>44735</v>
      </c>
      <c r="D1693" s="331">
        <f t="shared" si="14"/>
        <v>329131.38</v>
      </c>
      <c r="E1693" s="331">
        <v>328931.38</v>
      </c>
      <c r="F1693" s="479">
        <v>200</v>
      </c>
    </row>
    <row r="1694" spans="3:6" x14ac:dyDescent="0.2">
      <c r="C1694" s="807">
        <v>44736</v>
      </c>
      <c r="D1694" s="331">
        <f t="shared" si="14"/>
        <v>329131.38</v>
      </c>
      <c r="E1694" s="331">
        <f t="shared" si="15"/>
        <v>328931.38</v>
      </c>
      <c r="F1694" s="479">
        <v>200</v>
      </c>
    </row>
    <row r="1695" spans="3:6" x14ac:dyDescent="0.2">
      <c r="C1695" s="807">
        <v>44739</v>
      </c>
      <c r="D1695" s="331">
        <f t="shared" si="14"/>
        <v>329131.38</v>
      </c>
      <c r="E1695" s="331">
        <f t="shared" si="15"/>
        <v>328931.38</v>
      </c>
      <c r="F1695" s="479">
        <v>200</v>
      </c>
    </row>
    <row r="1696" spans="3:6" x14ac:dyDescent="0.2">
      <c r="C1696" s="807">
        <v>44740</v>
      </c>
      <c r="D1696" s="331">
        <f t="shared" si="14"/>
        <v>329131.38</v>
      </c>
      <c r="E1696" s="331">
        <f t="shared" si="15"/>
        <v>328931.38</v>
      </c>
      <c r="F1696" s="479">
        <v>200</v>
      </c>
    </row>
    <row r="1697" spans="3:6" x14ac:dyDescent="0.2">
      <c r="C1697" s="807">
        <v>44741</v>
      </c>
      <c r="D1697" s="331">
        <f t="shared" si="14"/>
        <v>358518.98</v>
      </c>
      <c r="E1697" s="331">
        <v>358318.98</v>
      </c>
      <c r="F1697" s="479">
        <v>200</v>
      </c>
    </row>
    <row r="1698" spans="3:6" x14ac:dyDescent="0.2">
      <c r="C1698" s="807">
        <v>44742</v>
      </c>
      <c r="D1698" s="331">
        <f t="shared" si="14"/>
        <v>388026.98</v>
      </c>
      <c r="E1698" s="331">
        <v>387826.98</v>
      </c>
      <c r="F1698" s="479">
        <v>200</v>
      </c>
    </row>
    <row r="1699" spans="3:6" x14ac:dyDescent="0.2">
      <c r="C1699" s="807">
        <v>44743</v>
      </c>
      <c r="D1699" s="331">
        <f t="shared" si="14"/>
        <v>388026.98</v>
      </c>
      <c r="E1699" s="331">
        <f t="shared" si="15"/>
        <v>387826.98</v>
      </c>
      <c r="F1699" s="479">
        <v>200</v>
      </c>
    </row>
    <row r="1700" spans="3:6" x14ac:dyDescent="0.2">
      <c r="C1700" s="807">
        <v>44746</v>
      </c>
      <c r="D1700" s="331">
        <f t="shared" si="14"/>
        <v>388026.98</v>
      </c>
      <c r="E1700" s="331">
        <f t="shared" si="15"/>
        <v>387826.98</v>
      </c>
      <c r="F1700" s="479">
        <v>200</v>
      </c>
    </row>
    <row r="1701" spans="3:6" x14ac:dyDescent="0.2">
      <c r="C1701" s="807">
        <v>44747</v>
      </c>
      <c r="D1701" s="331">
        <f t="shared" si="14"/>
        <v>347383.35</v>
      </c>
      <c r="E1701" s="331">
        <v>347183.35</v>
      </c>
      <c r="F1701" s="479">
        <v>200</v>
      </c>
    </row>
    <row r="1702" spans="3:6" x14ac:dyDescent="0.2">
      <c r="C1702" s="807">
        <v>44748</v>
      </c>
      <c r="D1702" s="331">
        <f t="shared" si="14"/>
        <v>347507.35</v>
      </c>
      <c r="E1702" s="331">
        <v>347307.35</v>
      </c>
      <c r="F1702" s="479">
        <v>200</v>
      </c>
    </row>
    <row r="1703" spans="3:6" x14ac:dyDescent="0.2">
      <c r="C1703" s="807">
        <v>44749</v>
      </c>
      <c r="D1703" s="331">
        <f t="shared" si="14"/>
        <v>347648.35</v>
      </c>
      <c r="E1703" s="331">
        <v>347448.35</v>
      </c>
      <c r="F1703" s="479">
        <v>200</v>
      </c>
    </row>
    <row r="1704" spans="3:6" x14ac:dyDescent="0.2">
      <c r="C1704" s="807">
        <v>44750</v>
      </c>
      <c r="D1704" s="331">
        <f t="shared" si="14"/>
        <v>347173.37</v>
      </c>
      <c r="E1704" s="331">
        <v>346973.37</v>
      </c>
      <c r="F1704" s="479">
        <v>200</v>
      </c>
    </row>
    <row r="1705" spans="3:6" x14ac:dyDescent="0.2">
      <c r="C1705" s="807">
        <v>44753</v>
      </c>
      <c r="D1705" s="331">
        <f t="shared" si="14"/>
        <v>347173.37</v>
      </c>
      <c r="E1705" s="331">
        <f t="shared" si="15"/>
        <v>346973.37</v>
      </c>
      <c r="F1705" s="479">
        <v>200</v>
      </c>
    </row>
    <row r="1706" spans="3:6" x14ac:dyDescent="0.2">
      <c r="C1706" s="807">
        <v>44754</v>
      </c>
      <c r="D1706" s="331">
        <f t="shared" si="14"/>
        <v>347422.37</v>
      </c>
      <c r="E1706" s="331">
        <v>347222.37</v>
      </c>
      <c r="F1706" s="479">
        <v>200</v>
      </c>
    </row>
    <row r="1707" spans="3:6" x14ac:dyDescent="0.2">
      <c r="C1707" s="807">
        <v>44755</v>
      </c>
      <c r="D1707" s="331">
        <f t="shared" si="14"/>
        <v>347422.37</v>
      </c>
      <c r="E1707" s="331">
        <f t="shared" si="15"/>
        <v>347222.37</v>
      </c>
      <c r="F1707" s="479">
        <v>200</v>
      </c>
    </row>
    <row r="1708" spans="3:6" x14ac:dyDescent="0.2">
      <c r="C1708" s="807">
        <v>44756</v>
      </c>
      <c r="D1708" s="331">
        <f t="shared" si="14"/>
        <v>353674.1</v>
      </c>
      <c r="E1708" s="331">
        <v>353474.1</v>
      </c>
      <c r="F1708" s="479">
        <v>200</v>
      </c>
    </row>
    <row r="1709" spans="3:6" x14ac:dyDescent="0.2">
      <c r="C1709" s="807">
        <v>44757</v>
      </c>
      <c r="D1709" s="331">
        <f t="shared" si="14"/>
        <v>355815.56</v>
      </c>
      <c r="E1709" s="331">
        <v>355615.56</v>
      </c>
      <c r="F1709" s="479">
        <v>200</v>
      </c>
    </row>
    <row r="1710" spans="3:6" x14ac:dyDescent="0.2">
      <c r="C1710" s="807">
        <v>44760</v>
      </c>
      <c r="D1710" s="331">
        <f t="shared" si="14"/>
        <v>319836.78000000003</v>
      </c>
      <c r="E1710" s="331">
        <v>319636.78000000003</v>
      </c>
      <c r="F1710" s="479">
        <v>200</v>
      </c>
    </row>
    <row r="1711" spans="3:6" x14ac:dyDescent="0.2">
      <c r="C1711" s="807">
        <v>44761</v>
      </c>
      <c r="D1711" s="331">
        <f t="shared" si="14"/>
        <v>296807.06</v>
      </c>
      <c r="E1711" s="331">
        <v>296607.06</v>
      </c>
      <c r="F1711" s="479">
        <v>200</v>
      </c>
    </row>
    <row r="1712" spans="3:6" x14ac:dyDescent="0.2">
      <c r="C1712" s="807">
        <v>44762</v>
      </c>
      <c r="D1712" s="331">
        <f t="shared" si="14"/>
        <v>296807.06</v>
      </c>
      <c r="E1712" s="331">
        <f>E1711</f>
        <v>296607.06</v>
      </c>
      <c r="F1712" s="479">
        <v>200</v>
      </c>
    </row>
    <row r="1713" spans="3:6" x14ac:dyDescent="0.2">
      <c r="C1713" s="807">
        <v>44763</v>
      </c>
      <c r="D1713" s="331">
        <f t="shared" si="14"/>
        <v>291257.96000000002</v>
      </c>
      <c r="E1713" s="331">
        <v>291057.96000000002</v>
      </c>
      <c r="F1713" s="479">
        <v>200</v>
      </c>
    </row>
    <row r="1714" spans="3:6" x14ac:dyDescent="0.2">
      <c r="C1714" s="807">
        <v>44764</v>
      </c>
      <c r="D1714" s="331">
        <f t="shared" si="14"/>
        <v>290782.98</v>
      </c>
      <c r="E1714" s="331">
        <v>290582.98</v>
      </c>
      <c r="F1714" s="479">
        <v>200</v>
      </c>
    </row>
    <row r="1715" spans="3:6" x14ac:dyDescent="0.2">
      <c r="C1715" s="807">
        <v>44767</v>
      </c>
      <c r="D1715" s="331">
        <f t="shared" si="14"/>
        <v>290782.98</v>
      </c>
      <c r="E1715" s="331">
        <f>E1714</f>
        <v>290582.98</v>
      </c>
      <c r="F1715" s="479">
        <v>200</v>
      </c>
    </row>
    <row r="1716" spans="3:6" x14ac:dyDescent="0.2">
      <c r="C1716" s="807">
        <v>44768</v>
      </c>
      <c r="D1716" s="331">
        <f t="shared" si="14"/>
        <v>290754.14</v>
      </c>
      <c r="E1716" s="331">
        <v>290554.14</v>
      </c>
      <c r="F1716" s="479">
        <v>200</v>
      </c>
    </row>
    <row r="1717" spans="3:6" x14ac:dyDescent="0.2">
      <c r="C1717" s="807">
        <v>44769</v>
      </c>
      <c r="D1717" s="331">
        <f t="shared" si="14"/>
        <v>290450.96000000002</v>
      </c>
      <c r="E1717" s="331">
        <v>290250.96000000002</v>
      </c>
      <c r="F1717" s="479">
        <v>200</v>
      </c>
    </row>
    <row r="1718" spans="3:6" x14ac:dyDescent="0.2">
      <c r="C1718" s="807">
        <v>44770</v>
      </c>
      <c r="D1718" s="331">
        <f t="shared" si="14"/>
        <v>282840.40000000002</v>
      </c>
      <c r="E1718" s="331">
        <v>282640.40000000002</v>
      </c>
      <c r="F1718" s="479">
        <v>200</v>
      </c>
    </row>
    <row r="1719" spans="3:6" x14ac:dyDescent="0.2">
      <c r="C1719" s="807">
        <v>44771</v>
      </c>
      <c r="D1719" s="331">
        <f t="shared" si="14"/>
        <v>318945.52</v>
      </c>
      <c r="E1719" s="331">
        <v>318745.52</v>
      </c>
      <c r="F1719" s="479">
        <v>200</v>
      </c>
    </row>
    <row r="1720" spans="3:6" x14ac:dyDescent="0.2">
      <c r="C1720" s="807">
        <v>44774</v>
      </c>
      <c r="D1720" s="331">
        <f t="shared" ref="D1720:D1801" si="16">E1720+F1720</f>
        <v>318945.52</v>
      </c>
      <c r="E1720" s="331">
        <f>E1719</f>
        <v>318745.52</v>
      </c>
      <c r="F1720" s="479">
        <v>200</v>
      </c>
    </row>
    <row r="1721" spans="3:6" x14ac:dyDescent="0.2">
      <c r="C1721" s="807">
        <v>44775</v>
      </c>
      <c r="D1721" s="331">
        <f t="shared" si="16"/>
        <v>278401.03999999998</v>
      </c>
      <c r="E1721" s="331">
        <v>278201.03999999998</v>
      </c>
      <c r="F1721" s="479">
        <v>200</v>
      </c>
    </row>
    <row r="1722" spans="3:6" x14ac:dyDescent="0.2">
      <c r="C1722" s="807">
        <v>44776</v>
      </c>
      <c r="D1722" s="331">
        <f t="shared" si="16"/>
        <v>277801.03999999998</v>
      </c>
      <c r="E1722" s="331">
        <v>277601.03999999998</v>
      </c>
      <c r="F1722" s="479">
        <v>200</v>
      </c>
    </row>
    <row r="1723" spans="3:6" x14ac:dyDescent="0.2">
      <c r="C1723" s="807">
        <v>44777</v>
      </c>
      <c r="D1723" s="331">
        <f t="shared" si="16"/>
        <v>277801.03999999998</v>
      </c>
      <c r="E1723" s="331">
        <f>E1722</f>
        <v>277601.03999999998</v>
      </c>
      <c r="F1723" s="479">
        <v>200</v>
      </c>
    </row>
    <row r="1724" spans="3:6" x14ac:dyDescent="0.2">
      <c r="C1724" s="807">
        <v>44778</v>
      </c>
      <c r="D1724" s="331">
        <f t="shared" si="16"/>
        <v>277326.06</v>
      </c>
      <c r="E1724" s="331">
        <v>277126.06</v>
      </c>
      <c r="F1724" s="479">
        <v>200</v>
      </c>
    </row>
    <row r="1725" spans="3:6" x14ac:dyDescent="0.2">
      <c r="C1725" s="807">
        <v>44781</v>
      </c>
      <c r="D1725" s="331">
        <f t="shared" si="16"/>
        <v>277326.06</v>
      </c>
      <c r="E1725" s="331">
        <f>E1724</f>
        <v>277126.06</v>
      </c>
      <c r="F1725" s="479">
        <v>200</v>
      </c>
    </row>
    <row r="1726" spans="3:6" x14ac:dyDescent="0.2">
      <c r="C1726" s="807">
        <v>44782</v>
      </c>
      <c r="D1726" s="331">
        <f t="shared" si="16"/>
        <v>254730.8</v>
      </c>
      <c r="E1726" s="331">
        <v>254530.8</v>
      </c>
      <c r="F1726" s="479">
        <v>200</v>
      </c>
    </row>
    <row r="1727" spans="3:6" x14ac:dyDescent="0.2">
      <c r="C1727" s="807">
        <v>44783</v>
      </c>
      <c r="D1727" s="331">
        <f t="shared" si="16"/>
        <v>254730.8</v>
      </c>
      <c r="E1727" s="331">
        <f>E1726</f>
        <v>254530.8</v>
      </c>
      <c r="F1727" s="479">
        <v>200</v>
      </c>
    </row>
    <row r="1728" spans="3:6" x14ac:dyDescent="0.2">
      <c r="C1728" s="807">
        <v>44784</v>
      </c>
      <c r="D1728" s="331">
        <f t="shared" si="16"/>
        <v>277867.62</v>
      </c>
      <c r="E1728" s="331">
        <v>277667.62</v>
      </c>
      <c r="F1728" s="479">
        <v>200</v>
      </c>
    </row>
    <row r="1729" spans="3:6" x14ac:dyDescent="0.2">
      <c r="C1729" s="807">
        <v>44785</v>
      </c>
      <c r="D1729" s="331">
        <f t="shared" si="16"/>
        <v>278679.81</v>
      </c>
      <c r="E1729" s="331">
        <v>278479.81</v>
      </c>
      <c r="F1729" s="479">
        <v>200</v>
      </c>
    </row>
    <row r="1730" spans="3:6" x14ac:dyDescent="0.2">
      <c r="C1730" s="807">
        <v>44788</v>
      </c>
      <c r="D1730" s="331">
        <f t="shared" si="16"/>
        <v>278711.32</v>
      </c>
      <c r="E1730" s="331">
        <v>278511.32</v>
      </c>
      <c r="F1730" s="479">
        <v>200</v>
      </c>
    </row>
    <row r="1731" spans="3:6" x14ac:dyDescent="0.2">
      <c r="C1731" s="807">
        <v>44789</v>
      </c>
      <c r="D1731" s="331">
        <f t="shared" si="16"/>
        <v>238555.14</v>
      </c>
      <c r="E1731" s="331">
        <v>238355.14</v>
      </c>
      <c r="F1731" s="479">
        <v>200</v>
      </c>
    </row>
    <row r="1732" spans="3:6" x14ac:dyDescent="0.2">
      <c r="C1732" s="807">
        <v>44790</v>
      </c>
      <c r="D1732" s="331">
        <f t="shared" si="16"/>
        <v>238555.14</v>
      </c>
      <c r="E1732" s="331">
        <f>E1731</f>
        <v>238355.14</v>
      </c>
      <c r="F1732" s="479">
        <v>200</v>
      </c>
    </row>
    <row r="1733" spans="3:6" x14ac:dyDescent="0.2">
      <c r="C1733" s="807">
        <v>44791</v>
      </c>
      <c r="D1733" s="331">
        <f t="shared" si="16"/>
        <v>238555.14</v>
      </c>
      <c r="E1733" s="331">
        <f>E1732</f>
        <v>238355.14</v>
      </c>
      <c r="F1733" s="479">
        <v>200</v>
      </c>
    </row>
    <row r="1734" spans="3:6" x14ac:dyDescent="0.2">
      <c r="C1734" s="807">
        <v>44792</v>
      </c>
      <c r="D1734" s="331">
        <f t="shared" si="16"/>
        <v>227371.3</v>
      </c>
      <c r="E1734" s="331">
        <v>227171.3</v>
      </c>
      <c r="F1734" s="479">
        <v>200</v>
      </c>
    </row>
    <row r="1735" spans="3:6" x14ac:dyDescent="0.2">
      <c r="C1735" s="807">
        <v>44795</v>
      </c>
      <c r="D1735" s="331">
        <f t="shared" si="16"/>
        <v>227907.61</v>
      </c>
      <c r="E1735" s="331">
        <v>227707.61</v>
      </c>
      <c r="F1735" s="479">
        <v>200</v>
      </c>
    </row>
    <row r="1736" spans="3:6" x14ac:dyDescent="0.2">
      <c r="C1736" s="807">
        <v>44796</v>
      </c>
      <c r="D1736" s="331">
        <f t="shared" si="16"/>
        <v>227907.61</v>
      </c>
      <c r="E1736" s="331">
        <f>E1735</f>
        <v>227707.61</v>
      </c>
      <c r="F1736" s="479">
        <v>200</v>
      </c>
    </row>
    <row r="1737" spans="3:6" x14ac:dyDescent="0.2">
      <c r="C1737" s="807">
        <v>44797</v>
      </c>
      <c r="D1737" s="331">
        <f t="shared" si="16"/>
        <v>250036.67</v>
      </c>
      <c r="E1737" s="331">
        <v>249836.67</v>
      </c>
      <c r="F1737" s="479">
        <v>200</v>
      </c>
    </row>
    <row r="1738" spans="3:6" x14ac:dyDescent="0.2">
      <c r="C1738" s="807">
        <v>44798</v>
      </c>
      <c r="D1738" s="331">
        <f t="shared" si="16"/>
        <v>255964.71</v>
      </c>
      <c r="E1738" s="331">
        <v>255764.71</v>
      </c>
      <c r="F1738" s="479">
        <v>200</v>
      </c>
    </row>
    <row r="1739" spans="3:6" x14ac:dyDescent="0.2">
      <c r="C1739" s="807">
        <v>44799</v>
      </c>
      <c r="D1739" s="331">
        <f t="shared" si="16"/>
        <v>315493.2</v>
      </c>
      <c r="E1739" s="331">
        <v>315293.2</v>
      </c>
      <c r="F1739" s="479">
        <v>200</v>
      </c>
    </row>
    <row r="1740" spans="3:6" x14ac:dyDescent="0.2">
      <c r="C1740" s="807">
        <v>44802</v>
      </c>
      <c r="D1740" s="331">
        <f t="shared" si="16"/>
        <v>315493.2</v>
      </c>
      <c r="E1740" s="331">
        <f>E1739</f>
        <v>315293.2</v>
      </c>
      <c r="F1740" s="479">
        <v>200</v>
      </c>
    </row>
    <row r="1741" spans="3:6" x14ac:dyDescent="0.2">
      <c r="C1741" s="807">
        <v>44803</v>
      </c>
      <c r="D1741" s="331">
        <f t="shared" si="16"/>
        <v>332334.94</v>
      </c>
      <c r="E1741" s="331">
        <v>332134.94</v>
      </c>
      <c r="F1741" s="479">
        <v>200</v>
      </c>
    </row>
    <row r="1742" spans="3:6" x14ac:dyDescent="0.2">
      <c r="C1742" s="807">
        <v>44804</v>
      </c>
      <c r="D1742" s="331">
        <f t="shared" si="16"/>
        <v>332334.94</v>
      </c>
      <c r="E1742" s="331">
        <f>E1741</f>
        <v>332134.94</v>
      </c>
      <c r="F1742" s="479">
        <v>200</v>
      </c>
    </row>
    <row r="1743" spans="3:6" x14ac:dyDescent="0.2">
      <c r="C1743" s="807">
        <v>44805</v>
      </c>
      <c r="D1743" s="331">
        <f t="shared" si="16"/>
        <v>370869.56</v>
      </c>
      <c r="E1743" s="331">
        <v>370669.56</v>
      </c>
      <c r="F1743" s="479">
        <v>200</v>
      </c>
    </row>
    <row r="1744" spans="3:6" x14ac:dyDescent="0.2">
      <c r="C1744" s="807">
        <v>44806</v>
      </c>
      <c r="D1744" s="331">
        <f t="shared" si="16"/>
        <v>370394.58</v>
      </c>
      <c r="E1744" s="331">
        <v>370194.58</v>
      </c>
      <c r="F1744" s="479">
        <v>200</v>
      </c>
    </row>
    <row r="1745" spans="3:6" x14ac:dyDescent="0.2">
      <c r="C1745" s="807">
        <v>44809</v>
      </c>
      <c r="D1745" s="331">
        <f t="shared" si="16"/>
        <v>370394.58</v>
      </c>
      <c r="E1745" s="331">
        <f>E1744</f>
        <v>370194.58</v>
      </c>
      <c r="F1745" s="479">
        <v>200</v>
      </c>
    </row>
    <row r="1746" spans="3:6" x14ac:dyDescent="0.2">
      <c r="C1746" s="807">
        <v>44810</v>
      </c>
      <c r="D1746" s="331">
        <f t="shared" si="16"/>
        <v>346842.59</v>
      </c>
      <c r="E1746" s="331">
        <v>346642.59</v>
      </c>
      <c r="F1746" s="479">
        <v>200</v>
      </c>
    </row>
    <row r="1747" spans="3:6" x14ac:dyDescent="0.2">
      <c r="C1747" s="807">
        <v>44811</v>
      </c>
      <c r="D1747" s="331">
        <f t="shared" si="16"/>
        <v>346842.59</v>
      </c>
      <c r="E1747" s="331">
        <f>E1746</f>
        <v>346642.59</v>
      </c>
      <c r="F1747" s="479">
        <v>200</v>
      </c>
    </row>
    <row r="1748" spans="3:6" x14ac:dyDescent="0.2">
      <c r="C1748" s="807">
        <v>44812</v>
      </c>
      <c r="D1748" s="331">
        <f t="shared" si="16"/>
        <v>346842.59</v>
      </c>
      <c r="E1748" s="331">
        <f>E1747</f>
        <v>346642.59</v>
      </c>
      <c r="F1748" s="479">
        <v>200</v>
      </c>
    </row>
    <row r="1749" spans="3:6" x14ac:dyDescent="0.2">
      <c r="C1749" s="807">
        <v>44813</v>
      </c>
      <c r="D1749" s="331">
        <f t="shared" si="16"/>
        <v>347076.59</v>
      </c>
      <c r="E1749" s="331">
        <v>346876.59</v>
      </c>
      <c r="F1749" s="479">
        <v>200</v>
      </c>
    </row>
    <row r="1750" spans="3:6" x14ac:dyDescent="0.2">
      <c r="C1750" s="807">
        <v>44816</v>
      </c>
      <c r="D1750" s="331">
        <f t="shared" si="16"/>
        <v>308665.48</v>
      </c>
      <c r="E1750" s="331">
        <v>308465.48</v>
      </c>
      <c r="F1750" s="479">
        <v>200</v>
      </c>
    </row>
    <row r="1751" spans="3:6" x14ac:dyDescent="0.2">
      <c r="C1751" s="807">
        <v>44817</v>
      </c>
      <c r="D1751" s="331">
        <f t="shared" si="16"/>
        <v>308665.48</v>
      </c>
      <c r="E1751" s="331">
        <f>E1750</f>
        <v>308465.48</v>
      </c>
      <c r="F1751" s="479">
        <v>200</v>
      </c>
    </row>
    <row r="1752" spans="3:6" x14ac:dyDescent="0.2">
      <c r="C1752" s="807">
        <v>44818</v>
      </c>
      <c r="D1752" s="331">
        <f t="shared" si="16"/>
        <v>320782.46999999997</v>
      </c>
      <c r="E1752" s="331">
        <v>320582.46999999997</v>
      </c>
      <c r="F1752" s="479">
        <v>200</v>
      </c>
    </row>
    <row r="1753" spans="3:6" x14ac:dyDescent="0.2">
      <c r="C1753" s="807">
        <v>44819</v>
      </c>
      <c r="D1753" s="331">
        <f t="shared" si="16"/>
        <v>317911.17</v>
      </c>
      <c r="E1753" s="331">
        <v>317711.17</v>
      </c>
      <c r="F1753" s="479">
        <v>200</v>
      </c>
    </row>
    <row r="1754" spans="3:6" x14ac:dyDescent="0.2">
      <c r="C1754" s="807">
        <v>44820</v>
      </c>
      <c r="D1754" s="331">
        <f t="shared" si="16"/>
        <v>317436.19</v>
      </c>
      <c r="E1754" s="331">
        <v>317236.19</v>
      </c>
      <c r="F1754" s="479">
        <v>200</v>
      </c>
    </row>
    <row r="1755" spans="3:6" x14ac:dyDescent="0.2">
      <c r="C1755" s="807">
        <v>44823</v>
      </c>
      <c r="D1755" s="331">
        <f t="shared" si="16"/>
        <v>317436.19</v>
      </c>
      <c r="E1755" s="331">
        <f>E1754</f>
        <v>317236.19</v>
      </c>
      <c r="F1755" s="479">
        <v>200</v>
      </c>
    </row>
    <row r="1756" spans="3:6" x14ac:dyDescent="0.2">
      <c r="C1756" s="807">
        <v>44824</v>
      </c>
      <c r="D1756" s="331">
        <f t="shared" si="16"/>
        <v>428386.24</v>
      </c>
      <c r="E1756" s="331">
        <v>428186.24</v>
      </c>
      <c r="F1756" s="479">
        <v>200</v>
      </c>
    </row>
    <row r="1757" spans="3:6" x14ac:dyDescent="0.2">
      <c r="C1757" s="807">
        <v>44825</v>
      </c>
      <c r="D1757" s="331">
        <f t="shared" si="16"/>
        <v>428386.24</v>
      </c>
      <c r="E1757" s="331">
        <f>E1756</f>
        <v>428186.24</v>
      </c>
      <c r="F1757" s="479">
        <v>200</v>
      </c>
    </row>
    <row r="1758" spans="3:6" x14ac:dyDescent="0.2">
      <c r="C1758" s="807">
        <v>44826</v>
      </c>
      <c r="D1758" s="331">
        <f t="shared" si="16"/>
        <v>425851.86</v>
      </c>
      <c r="E1758" s="331">
        <v>425651.86</v>
      </c>
      <c r="F1758" s="479">
        <v>200</v>
      </c>
    </row>
    <row r="1759" spans="3:6" x14ac:dyDescent="0.2">
      <c r="C1759" s="807">
        <v>44827</v>
      </c>
      <c r="D1759" s="331">
        <f t="shared" si="16"/>
        <v>453679.91</v>
      </c>
      <c r="E1759" s="331">
        <v>453479.91</v>
      </c>
      <c r="F1759" s="479">
        <v>200</v>
      </c>
    </row>
    <row r="1760" spans="3:6" x14ac:dyDescent="0.2">
      <c r="C1760" s="807">
        <v>44830</v>
      </c>
      <c r="D1760" s="331">
        <f t="shared" si="16"/>
        <v>412431.05</v>
      </c>
      <c r="E1760" s="331">
        <v>412231.05</v>
      </c>
      <c r="F1760" s="479">
        <v>200</v>
      </c>
    </row>
    <row r="1761" spans="3:6" x14ac:dyDescent="0.2">
      <c r="C1761" s="807">
        <v>44831</v>
      </c>
      <c r="D1761" s="331">
        <f t="shared" si="16"/>
        <v>412402.21</v>
      </c>
      <c r="E1761" s="331">
        <v>412202.21</v>
      </c>
      <c r="F1761" s="479">
        <v>200</v>
      </c>
    </row>
    <row r="1762" spans="3:6" x14ac:dyDescent="0.2">
      <c r="C1762" s="807">
        <v>44832</v>
      </c>
      <c r="D1762" s="331">
        <f t="shared" si="16"/>
        <v>417372.63</v>
      </c>
      <c r="E1762" s="331">
        <v>417172.63</v>
      </c>
      <c r="F1762" s="479">
        <v>200</v>
      </c>
    </row>
    <row r="1763" spans="3:6" x14ac:dyDescent="0.2">
      <c r="C1763" s="807">
        <v>44833</v>
      </c>
      <c r="D1763" s="331">
        <f t="shared" si="16"/>
        <v>415449.23</v>
      </c>
      <c r="E1763" s="331">
        <v>415249.23</v>
      </c>
      <c r="F1763" s="479">
        <v>200</v>
      </c>
    </row>
    <row r="1764" spans="3:6" x14ac:dyDescent="0.2">
      <c r="C1764" s="807">
        <v>44834</v>
      </c>
      <c r="D1764" s="331">
        <f t="shared" si="16"/>
        <v>435708</v>
      </c>
      <c r="E1764" s="331">
        <v>435508</v>
      </c>
      <c r="F1764" s="479">
        <v>200</v>
      </c>
    </row>
    <row r="1765" spans="3:6" x14ac:dyDescent="0.2">
      <c r="C1765" s="807">
        <v>44835</v>
      </c>
      <c r="D1765" s="331">
        <f t="shared" si="16"/>
        <v>435708</v>
      </c>
      <c r="E1765" s="331">
        <f>E1764</f>
        <v>435508</v>
      </c>
      <c r="F1765" s="479">
        <v>200</v>
      </c>
    </row>
    <row r="1766" spans="3:6" x14ac:dyDescent="0.2">
      <c r="C1766" s="807">
        <v>44836</v>
      </c>
      <c r="D1766" s="331">
        <f t="shared" si="16"/>
        <v>435708</v>
      </c>
      <c r="E1766" s="331">
        <f>E1765</f>
        <v>435508</v>
      </c>
      <c r="F1766" s="479">
        <v>200</v>
      </c>
    </row>
    <row r="1767" spans="3:6" x14ac:dyDescent="0.2">
      <c r="C1767" s="807">
        <v>44837</v>
      </c>
      <c r="D1767" s="331">
        <f t="shared" si="16"/>
        <v>435708</v>
      </c>
      <c r="E1767" s="331">
        <f>E1766</f>
        <v>435508</v>
      </c>
      <c r="F1767" s="479">
        <v>200</v>
      </c>
    </row>
    <row r="1768" spans="3:6" x14ac:dyDescent="0.2">
      <c r="C1768" s="807">
        <v>44838</v>
      </c>
      <c r="D1768" s="331">
        <f t="shared" si="16"/>
        <v>435708</v>
      </c>
      <c r="E1768" s="331">
        <f>E1767</f>
        <v>435508</v>
      </c>
      <c r="F1768" s="479">
        <v>200</v>
      </c>
    </row>
    <row r="1769" spans="3:6" x14ac:dyDescent="0.2">
      <c r="C1769" s="807">
        <v>44839</v>
      </c>
      <c r="D1769" s="331">
        <f t="shared" si="16"/>
        <v>436040</v>
      </c>
      <c r="E1769" s="331">
        <v>435840</v>
      </c>
      <c r="F1769" s="479">
        <v>200</v>
      </c>
    </row>
    <row r="1770" spans="3:6" x14ac:dyDescent="0.2">
      <c r="C1770" s="807">
        <v>44840</v>
      </c>
      <c r="D1770" s="331">
        <f t="shared" si="16"/>
        <v>427559.36</v>
      </c>
      <c r="E1770" s="331">
        <v>427359.36</v>
      </c>
      <c r="F1770" s="479">
        <v>200</v>
      </c>
    </row>
    <row r="1771" spans="3:6" x14ac:dyDescent="0.2">
      <c r="C1771" s="807">
        <v>44841</v>
      </c>
      <c r="D1771" s="331">
        <f t="shared" si="16"/>
        <v>427559.36</v>
      </c>
      <c r="E1771" s="331">
        <f>E1770</f>
        <v>427359.36</v>
      </c>
      <c r="F1771" s="479">
        <v>200</v>
      </c>
    </row>
    <row r="1772" spans="3:6" x14ac:dyDescent="0.2">
      <c r="C1772" s="807">
        <v>44844</v>
      </c>
      <c r="D1772" s="331">
        <f t="shared" si="16"/>
        <v>427559.36</v>
      </c>
      <c r="E1772" s="331">
        <f>E1771</f>
        <v>427359.36</v>
      </c>
      <c r="F1772" s="479">
        <v>200</v>
      </c>
    </row>
    <row r="1773" spans="3:6" x14ac:dyDescent="0.2">
      <c r="C1773" s="807">
        <v>44845</v>
      </c>
      <c r="D1773" s="331">
        <f t="shared" si="16"/>
        <v>388161.54</v>
      </c>
      <c r="E1773" s="331">
        <v>387961.54</v>
      </c>
      <c r="F1773" s="479">
        <v>200</v>
      </c>
    </row>
    <row r="1774" spans="3:6" x14ac:dyDescent="0.2">
      <c r="C1774" s="807">
        <v>44846</v>
      </c>
      <c r="D1774" s="331">
        <f t="shared" si="16"/>
        <v>388161.54</v>
      </c>
      <c r="E1774" s="331">
        <f>E1773</f>
        <v>387961.54</v>
      </c>
      <c r="F1774" s="479">
        <v>200</v>
      </c>
    </row>
    <row r="1775" spans="3:6" x14ac:dyDescent="0.2">
      <c r="C1775" s="807">
        <v>44847</v>
      </c>
      <c r="D1775" s="331">
        <f t="shared" si="16"/>
        <v>381514.53</v>
      </c>
      <c r="E1775" s="331">
        <v>381314.53</v>
      </c>
      <c r="F1775" s="479">
        <v>200</v>
      </c>
    </row>
    <row r="1776" spans="3:6" x14ac:dyDescent="0.2">
      <c r="C1776" s="807">
        <v>44848</v>
      </c>
      <c r="D1776" s="331">
        <f t="shared" si="16"/>
        <v>389507.01</v>
      </c>
      <c r="E1776" s="331">
        <v>389307.01</v>
      </c>
      <c r="F1776" s="479">
        <v>200</v>
      </c>
    </row>
    <row r="1777" spans="3:6" x14ac:dyDescent="0.2">
      <c r="C1777" s="807">
        <v>44849</v>
      </c>
      <c r="D1777" s="331">
        <f t="shared" si="16"/>
        <v>389507.01</v>
      </c>
      <c r="E1777" s="331">
        <f t="shared" ref="E1777:E1795" si="17">E1776</f>
        <v>389307.01</v>
      </c>
      <c r="F1777" s="479">
        <v>200</v>
      </c>
    </row>
    <row r="1778" spans="3:6" x14ac:dyDescent="0.2">
      <c r="C1778" s="807">
        <v>44850</v>
      </c>
      <c r="D1778" s="331">
        <f t="shared" si="16"/>
        <v>389507.01</v>
      </c>
      <c r="E1778" s="331">
        <f t="shared" si="17"/>
        <v>389307.01</v>
      </c>
      <c r="F1778" s="479">
        <v>200</v>
      </c>
    </row>
    <row r="1779" spans="3:6" x14ac:dyDescent="0.2">
      <c r="C1779" s="807">
        <v>44851</v>
      </c>
      <c r="D1779" s="331">
        <f t="shared" si="16"/>
        <v>414035.71</v>
      </c>
      <c r="E1779" s="331">
        <v>413835.71</v>
      </c>
      <c r="F1779" s="479">
        <v>200</v>
      </c>
    </row>
    <row r="1780" spans="3:6" x14ac:dyDescent="0.2">
      <c r="C1780" s="807">
        <v>44852</v>
      </c>
      <c r="D1780" s="331">
        <f t="shared" si="16"/>
        <v>413985.71</v>
      </c>
      <c r="E1780" s="331">
        <v>413785.71</v>
      </c>
      <c r="F1780" s="479">
        <v>200</v>
      </c>
    </row>
    <row r="1781" spans="3:6" x14ac:dyDescent="0.2">
      <c r="C1781" s="807">
        <v>44853</v>
      </c>
      <c r="D1781" s="331">
        <f t="shared" si="16"/>
        <v>413985.71</v>
      </c>
      <c r="E1781" s="331">
        <f t="shared" si="17"/>
        <v>413785.71</v>
      </c>
      <c r="F1781" s="479">
        <v>200</v>
      </c>
    </row>
    <row r="1782" spans="3:6" x14ac:dyDescent="0.2">
      <c r="C1782" s="807">
        <v>44854</v>
      </c>
      <c r="D1782" s="331">
        <f t="shared" si="16"/>
        <v>411319.14</v>
      </c>
      <c r="E1782" s="331">
        <v>411119.14</v>
      </c>
      <c r="F1782" s="479">
        <v>200</v>
      </c>
    </row>
    <row r="1783" spans="3:6" x14ac:dyDescent="0.2">
      <c r="C1783" s="807">
        <v>44855</v>
      </c>
      <c r="D1783" s="331">
        <f t="shared" si="16"/>
        <v>411160.29</v>
      </c>
      <c r="E1783" s="331">
        <v>410960.29</v>
      </c>
      <c r="F1783" s="479">
        <v>200</v>
      </c>
    </row>
    <row r="1784" spans="3:6" x14ac:dyDescent="0.2">
      <c r="C1784" s="807">
        <v>44856</v>
      </c>
      <c r="D1784" s="331">
        <f t="shared" si="16"/>
        <v>411160.29</v>
      </c>
      <c r="E1784" s="331">
        <f t="shared" si="17"/>
        <v>410960.29</v>
      </c>
      <c r="F1784" s="479">
        <v>200</v>
      </c>
    </row>
    <row r="1785" spans="3:6" x14ac:dyDescent="0.2">
      <c r="C1785" s="807">
        <v>44857</v>
      </c>
      <c r="D1785" s="331">
        <f t="shared" si="16"/>
        <v>411160.29</v>
      </c>
      <c r="E1785" s="331">
        <f t="shared" si="17"/>
        <v>410960.29</v>
      </c>
      <c r="F1785" s="479">
        <v>200</v>
      </c>
    </row>
    <row r="1786" spans="3:6" x14ac:dyDescent="0.2">
      <c r="C1786" s="807">
        <v>44858</v>
      </c>
      <c r="D1786" s="331">
        <f t="shared" si="16"/>
        <v>372476.51</v>
      </c>
      <c r="E1786" s="331">
        <v>372276.51</v>
      </c>
      <c r="F1786" s="479">
        <v>200</v>
      </c>
    </row>
    <row r="1787" spans="3:6" x14ac:dyDescent="0.2">
      <c r="C1787" s="807">
        <v>44859</v>
      </c>
      <c r="D1787" s="331">
        <f t="shared" si="16"/>
        <v>376660.01</v>
      </c>
      <c r="E1787" s="331">
        <v>376460.01</v>
      </c>
      <c r="F1787" s="479">
        <v>200</v>
      </c>
    </row>
    <row r="1788" spans="3:6" x14ac:dyDescent="0.2">
      <c r="C1788" s="807">
        <v>44860</v>
      </c>
      <c r="D1788" s="331">
        <f t="shared" si="16"/>
        <v>397613.66</v>
      </c>
      <c r="E1788" s="331">
        <v>397413.66</v>
      </c>
      <c r="F1788" s="479">
        <v>200</v>
      </c>
    </row>
    <row r="1789" spans="3:6" x14ac:dyDescent="0.2">
      <c r="C1789" s="807">
        <v>44861</v>
      </c>
      <c r="D1789" s="331">
        <f t="shared" si="16"/>
        <v>387878.55</v>
      </c>
      <c r="E1789" s="331">
        <v>387678.55</v>
      </c>
      <c r="F1789" s="479">
        <v>200</v>
      </c>
    </row>
    <row r="1790" spans="3:6" x14ac:dyDescent="0.2">
      <c r="C1790" s="807">
        <v>44862</v>
      </c>
      <c r="D1790" s="331">
        <f t="shared" si="16"/>
        <v>387403.57</v>
      </c>
      <c r="E1790" s="331">
        <v>387203.57</v>
      </c>
      <c r="F1790" s="479">
        <v>200</v>
      </c>
    </row>
    <row r="1791" spans="3:6" x14ac:dyDescent="0.2">
      <c r="C1791" s="807">
        <v>44863</v>
      </c>
      <c r="D1791" s="331">
        <f t="shared" si="16"/>
        <v>387403.57</v>
      </c>
      <c r="E1791" s="331">
        <f t="shared" si="17"/>
        <v>387203.57</v>
      </c>
      <c r="F1791" s="479">
        <v>200</v>
      </c>
    </row>
    <row r="1792" spans="3:6" x14ac:dyDescent="0.2">
      <c r="C1792" s="807">
        <v>44864</v>
      </c>
      <c r="D1792" s="331">
        <f t="shared" si="16"/>
        <v>387403.57</v>
      </c>
      <c r="E1792" s="331">
        <f t="shared" si="17"/>
        <v>387203.57</v>
      </c>
      <c r="F1792" s="479">
        <v>200</v>
      </c>
    </row>
    <row r="1793" spans="3:6" x14ac:dyDescent="0.2">
      <c r="C1793" s="807">
        <v>44865</v>
      </c>
      <c r="D1793" s="331">
        <f t="shared" si="16"/>
        <v>417675.61</v>
      </c>
      <c r="E1793" s="331">
        <v>417475.61</v>
      </c>
      <c r="F1793" s="479">
        <v>200</v>
      </c>
    </row>
    <row r="1794" spans="3:6" x14ac:dyDescent="0.2">
      <c r="C1794" s="807">
        <v>44866</v>
      </c>
      <c r="D1794" s="331">
        <f t="shared" si="16"/>
        <v>417675.61</v>
      </c>
      <c r="E1794" s="331">
        <f t="shared" si="17"/>
        <v>417475.61</v>
      </c>
      <c r="F1794" s="479">
        <v>200</v>
      </c>
    </row>
    <row r="1795" spans="3:6" x14ac:dyDescent="0.2">
      <c r="C1795" s="807">
        <v>44867</v>
      </c>
      <c r="D1795" s="331">
        <f t="shared" si="16"/>
        <v>417675.61</v>
      </c>
      <c r="E1795" s="331">
        <f t="shared" si="17"/>
        <v>417475.61</v>
      </c>
      <c r="F1795" s="479">
        <v>200</v>
      </c>
    </row>
    <row r="1796" spans="3:6" x14ac:dyDescent="0.2">
      <c r="C1796" s="807">
        <v>44868</v>
      </c>
      <c r="D1796" s="331">
        <f t="shared" si="16"/>
        <v>412270.74</v>
      </c>
      <c r="E1796" s="331">
        <v>412070.74</v>
      </c>
      <c r="F1796" s="479">
        <v>200</v>
      </c>
    </row>
    <row r="1797" spans="3:6" x14ac:dyDescent="0.2">
      <c r="C1797" s="807">
        <v>44869</v>
      </c>
      <c r="D1797" s="331">
        <f t="shared" si="16"/>
        <v>412270.74</v>
      </c>
      <c r="E1797" s="331">
        <f t="shared" ref="E1797:E1840" si="18">E1796</f>
        <v>412070.74</v>
      </c>
      <c r="F1797" s="479">
        <v>200</v>
      </c>
    </row>
    <row r="1798" spans="3:6" x14ac:dyDescent="0.2">
      <c r="C1798" s="807">
        <v>44870</v>
      </c>
      <c r="D1798" s="331">
        <f t="shared" si="16"/>
        <v>412270.74</v>
      </c>
      <c r="E1798" s="331">
        <f t="shared" si="18"/>
        <v>412070.74</v>
      </c>
      <c r="F1798" s="479">
        <v>200</v>
      </c>
    </row>
    <row r="1799" spans="3:6" x14ac:dyDescent="0.2">
      <c r="C1799" s="807">
        <v>44871</v>
      </c>
      <c r="D1799" s="331">
        <f t="shared" si="16"/>
        <v>412270.74</v>
      </c>
      <c r="E1799" s="331">
        <f t="shared" si="18"/>
        <v>412070.74</v>
      </c>
      <c r="F1799" s="479">
        <v>200</v>
      </c>
    </row>
    <row r="1800" spans="3:6" x14ac:dyDescent="0.2">
      <c r="C1800" s="807">
        <v>44872</v>
      </c>
      <c r="D1800" s="331">
        <f t="shared" si="16"/>
        <v>368529.24</v>
      </c>
      <c r="E1800" s="331">
        <v>368329.24</v>
      </c>
      <c r="F1800" s="479">
        <v>200</v>
      </c>
    </row>
    <row r="1801" spans="3:6" x14ac:dyDescent="0.2">
      <c r="C1801" s="807">
        <v>44873</v>
      </c>
      <c r="D1801" s="331">
        <f t="shared" si="16"/>
        <v>369146.24</v>
      </c>
      <c r="E1801" s="331">
        <v>368946.24</v>
      </c>
      <c r="F1801" s="479">
        <v>200</v>
      </c>
    </row>
    <row r="1802" spans="3:6" x14ac:dyDescent="0.2">
      <c r="C1802" s="807">
        <v>44874</v>
      </c>
      <c r="D1802" s="331">
        <f t="shared" ref="D1802:D1865" si="19">E1802+F1802</f>
        <v>369146.24</v>
      </c>
      <c r="E1802" s="331">
        <f t="shared" si="18"/>
        <v>368946.24</v>
      </c>
      <c r="F1802" s="479">
        <v>200</v>
      </c>
    </row>
    <row r="1803" spans="3:6" x14ac:dyDescent="0.2">
      <c r="C1803" s="807">
        <v>44875</v>
      </c>
      <c r="D1803" s="331">
        <f t="shared" si="19"/>
        <v>423875.79</v>
      </c>
      <c r="E1803" s="331">
        <v>423675.79</v>
      </c>
      <c r="F1803" s="479">
        <v>200</v>
      </c>
    </row>
    <row r="1804" spans="3:6" x14ac:dyDescent="0.2">
      <c r="C1804" s="807">
        <v>44876</v>
      </c>
      <c r="D1804" s="331">
        <f t="shared" si="19"/>
        <v>423875.79</v>
      </c>
      <c r="E1804" s="331">
        <f t="shared" si="18"/>
        <v>423675.79</v>
      </c>
      <c r="F1804" s="479">
        <v>200</v>
      </c>
    </row>
    <row r="1805" spans="3:6" x14ac:dyDescent="0.2">
      <c r="C1805" s="807">
        <v>44879</v>
      </c>
      <c r="D1805" s="331">
        <f t="shared" si="19"/>
        <v>423400.81</v>
      </c>
      <c r="E1805" s="331">
        <v>423200.81</v>
      </c>
      <c r="F1805" s="479">
        <v>200</v>
      </c>
    </row>
    <row r="1806" spans="3:6" x14ac:dyDescent="0.2">
      <c r="C1806" s="807">
        <v>44880</v>
      </c>
      <c r="D1806" s="331">
        <f t="shared" si="19"/>
        <v>423210.99</v>
      </c>
      <c r="E1806" s="331">
        <v>423010.99</v>
      </c>
      <c r="F1806" s="479">
        <v>200</v>
      </c>
    </row>
    <row r="1807" spans="3:6" x14ac:dyDescent="0.2">
      <c r="C1807" s="807">
        <v>44881</v>
      </c>
      <c r="D1807" s="331">
        <f t="shared" si="19"/>
        <v>473210.99</v>
      </c>
      <c r="E1807" s="331">
        <v>473010.99</v>
      </c>
      <c r="F1807" s="479">
        <v>200</v>
      </c>
    </row>
    <row r="1808" spans="3:6" x14ac:dyDescent="0.2">
      <c r="C1808" s="807">
        <v>44882</v>
      </c>
      <c r="D1808" s="331">
        <f t="shared" si="19"/>
        <v>470084.64</v>
      </c>
      <c r="E1808" s="331">
        <v>469884.64</v>
      </c>
      <c r="F1808" s="479">
        <v>200</v>
      </c>
    </row>
    <row r="1809" spans="3:6" x14ac:dyDescent="0.2">
      <c r="C1809" s="807">
        <v>44883</v>
      </c>
      <c r="D1809" s="331">
        <f t="shared" si="19"/>
        <v>470084.64</v>
      </c>
      <c r="E1809" s="331">
        <f t="shared" si="18"/>
        <v>469884.64</v>
      </c>
      <c r="F1809" s="479">
        <v>200</v>
      </c>
    </row>
    <row r="1810" spans="3:6" x14ac:dyDescent="0.2">
      <c r="C1810" s="807">
        <v>44886</v>
      </c>
      <c r="D1810" s="331">
        <f t="shared" si="19"/>
        <v>424767.46</v>
      </c>
      <c r="E1810" s="331">
        <v>424567.46</v>
      </c>
      <c r="F1810" s="479">
        <v>200</v>
      </c>
    </row>
    <row r="1811" spans="3:6" x14ac:dyDescent="0.2">
      <c r="C1811" s="807">
        <v>44887</v>
      </c>
      <c r="D1811" s="331">
        <f t="shared" si="19"/>
        <v>424767.46</v>
      </c>
      <c r="E1811" s="331">
        <f t="shared" si="18"/>
        <v>424567.46</v>
      </c>
      <c r="F1811" s="479">
        <v>200</v>
      </c>
    </row>
    <row r="1812" spans="3:6" x14ac:dyDescent="0.2">
      <c r="C1812" s="807">
        <v>44888</v>
      </c>
      <c r="D1812" s="331">
        <f t="shared" si="19"/>
        <v>424767.46</v>
      </c>
      <c r="E1812" s="331">
        <f t="shared" si="18"/>
        <v>424567.46</v>
      </c>
      <c r="F1812" s="479">
        <v>200</v>
      </c>
    </row>
    <row r="1813" spans="3:6" x14ac:dyDescent="0.2">
      <c r="C1813" s="807">
        <v>44889</v>
      </c>
      <c r="D1813" s="331">
        <f t="shared" si="19"/>
        <v>424767.46</v>
      </c>
      <c r="E1813" s="331">
        <f t="shared" si="18"/>
        <v>424567.46</v>
      </c>
      <c r="F1813" s="479">
        <v>200</v>
      </c>
    </row>
    <row r="1814" spans="3:6" x14ac:dyDescent="0.2">
      <c r="C1814" s="807">
        <v>44890</v>
      </c>
      <c r="D1814" s="331">
        <f t="shared" si="19"/>
        <v>442650.11</v>
      </c>
      <c r="E1814" s="331">
        <v>442450.11</v>
      </c>
      <c r="F1814" s="479">
        <v>200</v>
      </c>
    </row>
    <row r="1815" spans="3:6" x14ac:dyDescent="0.2">
      <c r="C1815" s="807">
        <v>44893</v>
      </c>
      <c r="D1815" s="331">
        <f t="shared" si="19"/>
        <v>442518.27</v>
      </c>
      <c r="E1815" s="331">
        <v>442318.27</v>
      </c>
      <c r="F1815" s="479">
        <v>200</v>
      </c>
    </row>
    <row r="1816" spans="3:6" x14ac:dyDescent="0.2">
      <c r="C1816" s="807">
        <v>44894</v>
      </c>
      <c r="D1816" s="331">
        <f t="shared" si="19"/>
        <v>442518.27</v>
      </c>
      <c r="E1816" s="331">
        <f t="shared" si="18"/>
        <v>442318.27</v>
      </c>
      <c r="F1816" s="479">
        <v>200</v>
      </c>
    </row>
    <row r="1817" spans="3:6" x14ac:dyDescent="0.2">
      <c r="C1817" s="807">
        <v>44895</v>
      </c>
      <c r="D1817" s="331">
        <f t="shared" si="19"/>
        <v>442518.27</v>
      </c>
      <c r="E1817" s="331">
        <f t="shared" si="18"/>
        <v>442318.27</v>
      </c>
      <c r="F1817" s="479">
        <v>200</v>
      </c>
    </row>
    <row r="1818" spans="3:6" x14ac:dyDescent="0.2">
      <c r="C1818" s="807">
        <v>44896</v>
      </c>
      <c r="D1818" s="331">
        <f t="shared" si="19"/>
        <v>442518.27</v>
      </c>
      <c r="E1818" s="331">
        <f t="shared" si="18"/>
        <v>442318.27</v>
      </c>
      <c r="F1818" s="479">
        <v>200</v>
      </c>
    </row>
    <row r="1819" spans="3:6" x14ac:dyDescent="0.2">
      <c r="C1819" s="807">
        <v>44897</v>
      </c>
      <c r="D1819" s="331">
        <f t="shared" si="19"/>
        <v>420942.38</v>
      </c>
      <c r="E1819" s="331">
        <v>420742.38</v>
      </c>
      <c r="F1819" s="479">
        <v>200</v>
      </c>
    </row>
    <row r="1820" spans="3:6" x14ac:dyDescent="0.2">
      <c r="C1820" s="807">
        <v>44900</v>
      </c>
      <c r="D1820" s="331">
        <f t="shared" si="19"/>
        <v>379216.39</v>
      </c>
      <c r="E1820" s="331">
        <v>379016.39</v>
      </c>
      <c r="F1820" s="479">
        <v>200</v>
      </c>
    </row>
    <row r="1821" spans="3:6" x14ac:dyDescent="0.2">
      <c r="C1821" s="807">
        <v>44901</v>
      </c>
      <c r="D1821" s="331">
        <f t="shared" si="19"/>
        <v>379216.39</v>
      </c>
      <c r="E1821" s="331">
        <f t="shared" si="18"/>
        <v>379016.39</v>
      </c>
      <c r="F1821" s="479">
        <v>200</v>
      </c>
    </row>
    <row r="1822" spans="3:6" x14ac:dyDescent="0.2">
      <c r="C1822" s="807">
        <v>44902</v>
      </c>
      <c r="D1822" s="331">
        <f t="shared" si="19"/>
        <v>379216.39</v>
      </c>
      <c r="E1822" s="331">
        <f t="shared" si="18"/>
        <v>379016.39</v>
      </c>
      <c r="F1822" s="479">
        <v>200</v>
      </c>
    </row>
    <row r="1823" spans="3:6" x14ac:dyDescent="0.2">
      <c r="C1823" s="807">
        <v>44903</v>
      </c>
      <c r="D1823" s="331">
        <f t="shared" si="19"/>
        <v>379216.39</v>
      </c>
      <c r="E1823" s="331">
        <f t="shared" si="18"/>
        <v>379016.39</v>
      </c>
      <c r="F1823" s="479">
        <v>200</v>
      </c>
    </row>
    <row r="1824" spans="3:6" x14ac:dyDescent="0.2">
      <c r="C1824" s="807">
        <v>44904</v>
      </c>
      <c r="D1824" s="331">
        <f t="shared" si="19"/>
        <v>383318.34</v>
      </c>
      <c r="E1824" s="331">
        <v>383118.34</v>
      </c>
      <c r="F1824" s="479">
        <v>200</v>
      </c>
    </row>
    <row r="1825" spans="3:6" x14ac:dyDescent="0.2">
      <c r="C1825" s="807">
        <v>44907</v>
      </c>
      <c r="D1825" s="331">
        <f t="shared" si="19"/>
        <v>383318.34</v>
      </c>
      <c r="E1825" s="331">
        <f t="shared" si="18"/>
        <v>383118.34</v>
      </c>
      <c r="F1825" s="479">
        <v>200</v>
      </c>
    </row>
    <row r="1826" spans="3:6" x14ac:dyDescent="0.2">
      <c r="C1826" s="807">
        <v>44908</v>
      </c>
      <c r="D1826" s="331">
        <f t="shared" si="19"/>
        <v>383318.34</v>
      </c>
      <c r="E1826" s="331">
        <f t="shared" si="18"/>
        <v>383118.34</v>
      </c>
      <c r="F1826" s="479">
        <v>200</v>
      </c>
    </row>
    <row r="1827" spans="3:6" x14ac:dyDescent="0.2">
      <c r="C1827" s="807">
        <v>44909</v>
      </c>
      <c r="D1827" s="331">
        <f t="shared" si="19"/>
        <v>378306.47</v>
      </c>
      <c r="E1827" s="331">
        <v>378106.47</v>
      </c>
      <c r="F1827" s="479">
        <v>200</v>
      </c>
    </row>
    <row r="1828" spans="3:6" x14ac:dyDescent="0.2">
      <c r="C1828" s="807">
        <v>44910</v>
      </c>
      <c r="D1828" s="331">
        <f t="shared" si="19"/>
        <v>385097.98</v>
      </c>
      <c r="E1828" s="331">
        <v>384897.98</v>
      </c>
      <c r="F1828" s="479">
        <v>200</v>
      </c>
    </row>
    <row r="1829" spans="3:6" x14ac:dyDescent="0.2">
      <c r="C1829" s="807">
        <v>44911</v>
      </c>
      <c r="D1829" s="331">
        <f t="shared" si="19"/>
        <v>385399.2</v>
      </c>
      <c r="E1829" s="331">
        <v>385199.2</v>
      </c>
      <c r="F1829" s="479">
        <v>200</v>
      </c>
    </row>
    <row r="1830" spans="3:6" x14ac:dyDescent="0.2">
      <c r="C1830" s="807">
        <v>44914</v>
      </c>
      <c r="D1830" s="331">
        <f t="shared" si="19"/>
        <v>385399.2</v>
      </c>
      <c r="E1830" s="331">
        <f t="shared" si="18"/>
        <v>385199.2</v>
      </c>
      <c r="F1830" s="479">
        <v>200</v>
      </c>
    </row>
    <row r="1831" spans="3:6" x14ac:dyDescent="0.2">
      <c r="C1831" s="807">
        <v>44915</v>
      </c>
      <c r="D1831" s="331">
        <f t="shared" si="19"/>
        <v>343338.22</v>
      </c>
      <c r="E1831" s="331">
        <v>343138.22</v>
      </c>
      <c r="F1831" s="479">
        <v>200</v>
      </c>
    </row>
    <row r="1832" spans="3:6" x14ac:dyDescent="0.2">
      <c r="C1832" s="807">
        <v>44916</v>
      </c>
      <c r="D1832" s="331">
        <f t="shared" si="19"/>
        <v>339355.16</v>
      </c>
      <c r="E1832" s="331">
        <v>339155.16</v>
      </c>
      <c r="F1832" s="479">
        <v>200</v>
      </c>
    </row>
    <row r="1833" spans="3:6" x14ac:dyDescent="0.2">
      <c r="C1833" s="807">
        <v>44917</v>
      </c>
      <c r="D1833" s="331">
        <f t="shared" si="19"/>
        <v>346945.63</v>
      </c>
      <c r="E1833" s="331">
        <v>346745.63</v>
      </c>
      <c r="F1833" s="479">
        <v>200</v>
      </c>
    </row>
    <row r="1834" spans="3:6" x14ac:dyDescent="0.2">
      <c r="C1834" s="807">
        <v>44918</v>
      </c>
      <c r="D1834" s="331">
        <f t="shared" si="19"/>
        <v>346470.13</v>
      </c>
      <c r="E1834" s="331">
        <v>346270.13</v>
      </c>
      <c r="F1834" s="479">
        <v>200</v>
      </c>
    </row>
    <row r="1835" spans="3:6" x14ac:dyDescent="0.2">
      <c r="C1835" s="807">
        <v>44921</v>
      </c>
      <c r="D1835" s="331">
        <f t="shared" si="19"/>
        <v>346470.13</v>
      </c>
      <c r="E1835" s="331">
        <f t="shared" si="18"/>
        <v>346270.13</v>
      </c>
      <c r="F1835" s="479">
        <v>200</v>
      </c>
    </row>
    <row r="1836" spans="3:6" x14ac:dyDescent="0.2">
      <c r="C1836" s="807">
        <v>44922</v>
      </c>
      <c r="D1836" s="331">
        <f t="shared" si="19"/>
        <v>346470.13</v>
      </c>
      <c r="E1836" s="331">
        <f t="shared" si="18"/>
        <v>346270.13</v>
      </c>
      <c r="F1836" s="479">
        <v>200</v>
      </c>
    </row>
    <row r="1837" spans="3:6" x14ac:dyDescent="0.2">
      <c r="C1837" s="807">
        <v>44923</v>
      </c>
      <c r="D1837" s="331">
        <f t="shared" si="19"/>
        <v>432503.36</v>
      </c>
      <c r="E1837" s="331">
        <v>432303.35999999999</v>
      </c>
      <c r="F1837" s="479">
        <v>200</v>
      </c>
    </row>
    <row r="1838" spans="3:6" x14ac:dyDescent="0.2">
      <c r="C1838" s="807">
        <v>44924</v>
      </c>
      <c r="D1838" s="331">
        <f t="shared" si="19"/>
        <v>432600.88</v>
      </c>
      <c r="E1838" s="331">
        <v>432400.88</v>
      </c>
      <c r="F1838" s="479">
        <v>200</v>
      </c>
    </row>
    <row r="1839" spans="3:6" x14ac:dyDescent="0.2">
      <c r="C1839" s="807">
        <v>44925</v>
      </c>
      <c r="D1839" s="331">
        <f t="shared" si="19"/>
        <v>432600.88</v>
      </c>
      <c r="E1839" s="331">
        <f t="shared" si="18"/>
        <v>432400.88</v>
      </c>
      <c r="F1839" s="479">
        <v>200</v>
      </c>
    </row>
    <row r="1840" spans="3:6" x14ac:dyDescent="0.2">
      <c r="C1840" s="807">
        <v>44928</v>
      </c>
      <c r="D1840" s="331">
        <f t="shared" si="19"/>
        <v>432600.88</v>
      </c>
      <c r="E1840" s="331">
        <f t="shared" si="18"/>
        <v>432400.88</v>
      </c>
      <c r="F1840" s="479">
        <v>200</v>
      </c>
    </row>
    <row r="1841" spans="3:6" x14ac:dyDescent="0.2">
      <c r="C1841" s="807">
        <v>44929</v>
      </c>
      <c r="D1841" s="331">
        <f t="shared" si="19"/>
        <v>432648.4</v>
      </c>
      <c r="E1841" s="331">
        <v>432448.4</v>
      </c>
      <c r="F1841" s="479">
        <v>200</v>
      </c>
    </row>
    <row r="1842" spans="3:6" x14ac:dyDescent="0.2">
      <c r="C1842" s="807">
        <v>44930</v>
      </c>
      <c r="D1842" s="331">
        <f t="shared" si="19"/>
        <v>432648.4</v>
      </c>
      <c r="E1842" s="331">
        <f>E1841</f>
        <v>432448.4</v>
      </c>
      <c r="F1842" s="479">
        <v>200</v>
      </c>
    </row>
    <row r="1843" spans="3:6" x14ac:dyDescent="0.2">
      <c r="C1843" s="807">
        <v>44931</v>
      </c>
      <c r="D1843" s="331">
        <f t="shared" si="19"/>
        <v>376288.8</v>
      </c>
      <c r="E1843" s="331">
        <v>376088.8</v>
      </c>
      <c r="F1843" s="479">
        <v>200</v>
      </c>
    </row>
    <row r="1844" spans="3:6" x14ac:dyDescent="0.2">
      <c r="C1844" s="807">
        <v>44932</v>
      </c>
      <c r="D1844" s="331">
        <f t="shared" si="19"/>
        <v>375846.51</v>
      </c>
      <c r="E1844" s="331">
        <v>375646.51</v>
      </c>
      <c r="F1844" s="479">
        <v>200</v>
      </c>
    </row>
    <row r="1845" spans="3:6" x14ac:dyDescent="0.2">
      <c r="C1845" s="807">
        <v>44935</v>
      </c>
      <c r="D1845" s="331">
        <f t="shared" si="19"/>
        <v>375246.51</v>
      </c>
      <c r="E1845" s="331">
        <v>375046.51</v>
      </c>
      <c r="F1845" s="479">
        <v>200</v>
      </c>
    </row>
    <row r="1846" spans="3:6" x14ac:dyDescent="0.2">
      <c r="C1846" s="807">
        <v>44936</v>
      </c>
      <c r="D1846" s="331">
        <f t="shared" si="19"/>
        <v>375703.51</v>
      </c>
      <c r="E1846" s="331">
        <v>375503.51</v>
      </c>
      <c r="F1846" s="479">
        <v>200</v>
      </c>
    </row>
    <row r="1847" spans="3:6" x14ac:dyDescent="0.2">
      <c r="C1847" s="807">
        <v>44937</v>
      </c>
      <c r="D1847" s="331">
        <f t="shared" si="19"/>
        <v>375837.32</v>
      </c>
      <c r="E1847" s="331">
        <v>375637.32</v>
      </c>
      <c r="F1847" s="479">
        <v>200</v>
      </c>
    </row>
    <row r="1848" spans="3:6" x14ac:dyDescent="0.2">
      <c r="C1848" s="807">
        <v>44938</v>
      </c>
      <c r="D1848" s="331">
        <f t="shared" si="19"/>
        <v>358313.37</v>
      </c>
      <c r="E1848" s="331">
        <v>358113.37</v>
      </c>
      <c r="F1848" s="479">
        <v>200</v>
      </c>
    </row>
    <row r="1849" spans="3:6" x14ac:dyDescent="0.2">
      <c r="C1849" s="807">
        <v>44939</v>
      </c>
      <c r="D1849" s="331">
        <f t="shared" si="19"/>
        <v>362655.36</v>
      </c>
      <c r="E1849" s="331">
        <v>362455.36</v>
      </c>
      <c r="F1849" s="479">
        <v>200</v>
      </c>
    </row>
    <row r="1850" spans="3:6" x14ac:dyDescent="0.2">
      <c r="C1850" s="807">
        <v>44942</v>
      </c>
      <c r="D1850" s="331">
        <f t="shared" si="19"/>
        <v>362655.36</v>
      </c>
      <c r="E1850" s="331">
        <f>E1849</f>
        <v>362455.36</v>
      </c>
      <c r="F1850" s="479">
        <v>200</v>
      </c>
    </row>
    <row r="1851" spans="3:6" x14ac:dyDescent="0.2">
      <c r="C1851" s="807">
        <v>44943</v>
      </c>
      <c r="D1851" s="331">
        <f t="shared" si="19"/>
        <v>296234.34999999998</v>
      </c>
      <c r="E1851" s="331">
        <v>296034.34999999998</v>
      </c>
      <c r="F1851" s="479">
        <v>200</v>
      </c>
    </row>
    <row r="1852" spans="3:6" x14ac:dyDescent="0.2">
      <c r="C1852" s="807">
        <v>44944</v>
      </c>
      <c r="D1852" s="331">
        <f t="shared" si="19"/>
        <v>309641.15000000002</v>
      </c>
      <c r="E1852" s="331">
        <v>309441.15000000002</v>
      </c>
      <c r="F1852" s="479">
        <v>200</v>
      </c>
    </row>
    <row r="1853" spans="3:6" x14ac:dyDescent="0.2">
      <c r="C1853" s="807">
        <v>44945</v>
      </c>
      <c r="D1853" s="331">
        <f t="shared" si="19"/>
        <v>316446.05</v>
      </c>
      <c r="E1853" s="331">
        <v>316246.05</v>
      </c>
      <c r="F1853" s="479">
        <v>200</v>
      </c>
    </row>
    <row r="1854" spans="3:6" x14ac:dyDescent="0.2">
      <c r="C1854" s="807">
        <v>44946</v>
      </c>
      <c r="D1854" s="331">
        <f t="shared" si="19"/>
        <v>315066.78000000003</v>
      </c>
      <c r="E1854" s="331">
        <v>314866.78000000003</v>
      </c>
      <c r="F1854" s="479">
        <v>200</v>
      </c>
    </row>
    <row r="1855" spans="3:6" x14ac:dyDescent="0.2">
      <c r="C1855" s="807">
        <v>44949</v>
      </c>
      <c r="D1855" s="331">
        <f t="shared" si="19"/>
        <v>314907.93</v>
      </c>
      <c r="E1855" s="331">
        <v>314707.93</v>
      </c>
      <c r="F1855" s="479">
        <v>200</v>
      </c>
    </row>
    <row r="1856" spans="3:6" x14ac:dyDescent="0.2">
      <c r="C1856" s="807">
        <v>44950</v>
      </c>
      <c r="D1856" s="331">
        <f t="shared" si="19"/>
        <v>314907.93</v>
      </c>
      <c r="E1856" s="331">
        <f>E1855</f>
        <v>314707.93</v>
      </c>
      <c r="F1856" s="479">
        <v>200</v>
      </c>
    </row>
    <row r="1857" spans="3:6" x14ac:dyDescent="0.2">
      <c r="C1857" s="807">
        <v>44951</v>
      </c>
      <c r="D1857" s="331">
        <f t="shared" si="19"/>
        <v>314907.93</v>
      </c>
      <c r="E1857" s="331">
        <f>E1856</f>
        <v>314707.93</v>
      </c>
      <c r="F1857" s="479">
        <v>200</v>
      </c>
    </row>
    <row r="1858" spans="3:6" x14ac:dyDescent="0.2">
      <c r="C1858" s="807">
        <v>44952</v>
      </c>
      <c r="D1858" s="331">
        <f t="shared" si="19"/>
        <v>315650.68</v>
      </c>
      <c r="E1858" s="331">
        <v>315450.68</v>
      </c>
      <c r="F1858" s="479">
        <v>200</v>
      </c>
    </row>
    <row r="1859" spans="3:6" x14ac:dyDescent="0.2">
      <c r="C1859" s="807">
        <v>44953</v>
      </c>
      <c r="D1859" s="331">
        <f t="shared" si="19"/>
        <v>291355.65000000002</v>
      </c>
      <c r="E1859" s="331">
        <v>291155.65000000002</v>
      </c>
      <c r="F1859" s="479">
        <v>200</v>
      </c>
    </row>
    <row r="1860" spans="3:6" x14ac:dyDescent="0.2">
      <c r="C1860" s="807">
        <v>44956</v>
      </c>
      <c r="D1860" s="331">
        <f t="shared" si="19"/>
        <v>270294.52</v>
      </c>
      <c r="E1860" s="331">
        <v>270094.52</v>
      </c>
      <c r="F1860" s="479">
        <v>200</v>
      </c>
    </row>
    <row r="1861" spans="3:6" x14ac:dyDescent="0.2">
      <c r="C1861" s="807">
        <v>44957</v>
      </c>
      <c r="D1861" s="331">
        <f t="shared" si="19"/>
        <v>269684.28999999998</v>
      </c>
      <c r="E1861" s="331">
        <v>269484.28999999998</v>
      </c>
      <c r="F1861" s="479">
        <v>200</v>
      </c>
    </row>
    <row r="1862" spans="3:6" x14ac:dyDescent="0.2">
      <c r="C1862" s="807">
        <v>44958</v>
      </c>
      <c r="D1862" s="331">
        <f t="shared" si="19"/>
        <v>269684.28999999998</v>
      </c>
      <c r="E1862" s="331">
        <f>E1861</f>
        <v>269484.28999999998</v>
      </c>
      <c r="F1862" s="479">
        <v>200</v>
      </c>
    </row>
    <row r="1863" spans="3:6" x14ac:dyDescent="0.2">
      <c r="C1863" s="807">
        <v>44959</v>
      </c>
      <c r="D1863" s="364">
        <f t="shared" si="19"/>
        <v>259972.42</v>
      </c>
      <c r="E1863" s="331">
        <v>259772.42</v>
      </c>
      <c r="F1863" s="479">
        <v>200</v>
      </c>
    </row>
    <row r="1864" spans="3:6" x14ac:dyDescent="0.2">
      <c r="C1864" s="807">
        <v>44960</v>
      </c>
      <c r="D1864" s="331">
        <f t="shared" si="19"/>
        <v>282694.13</v>
      </c>
      <c r="E1864" s="331">
        <v>282494.13</v>
      </c>
      <c r="F1864" s="479">
        <v>200</v>
      </c>
    </row>
    <row r="1865" spans="3:6" x14ac:dyDescent="0.2">
      <c r="C1865" s="807">
        <v>44963</v>
      </c>
      <c r="D1865" s="331">
        <f t="shared" si="19"/>
        <v>282636.44</v>
      </c>
      <c r="E1865" s="331">
        <v>282436.44</v>
      </c>
      <c r="F1865" s="479">
        <v>200</v>
      </c>
    </row>
    <row r="1866" spans="3:6" x14ac:dyDescent="0.2">
      <c r="C1866" s="807">
        <v>44964</v>
      </c>
      <c r="D1866" s="331">
        <f t="shared" ref="D1866:D1929" si="20">E1866+F1866</f>
        <v>298296.44</v>
      </c>
      <c r="E1866" s="331">
        <v>298096.44</v>
      </c>
      <c r="F1866" s="479">
        <v>200</v>
      </c>
    </row>
    <row r="1867" spans="3:6" x14ac:dyDescent="0.2">
      <c r="C1867" s="807">
        <v>44965</v>
      </c>
      <c r="D1867" s="331">
        <f t="shared" si="20"/>
        <v>298259.44</v>
      </c>
      <c r="E1867" s="331">
        <v>298059.44</v>
      </c>
      <c r="F1867" s="479">
        <v>200</v>
      </c>
    </row>
    <row r="1868" spans="3:6" x14ac:dyDescent="0.2">
      <c r="C1868" s="807">
        <v>44966</v>
      </c>
      <c r="D1868" s="331">
        <f t="shared" si="20"/>
        <v>286670.99</v>
      </c>
      <c r="E1868" s="331">
        <v>286470.99</v>
      </c>
      <c r="F1868" s="479">
        <v>200</v>
      </c>
    </row>
    <row r="1869" spans="3:6" x14ac:dyDescent="0.2">
      <c r="C1869" s="807">
        <v>44967</v>
      </c>
      <c r="D1869" s="331">
        <f t="shared" si="20"/>
        <v>329121.65000000002</v>
      </c>
      <c r="E1869" s="331">
        <v>328921.65000000002</v>
      </c>
      <c r="F1869" s="479">
        <v>200</v>
      </c>
    </row>
    <row r="1870" spans="3:6" x14ac:dyDescent="0.2">
      <c r="C1870" s="807">
        <v>44970</v>
      </c>
      <c r="D1870" s="331">
        <f t="shared" si="20"/>
        <v>287265.95</v>
      </c>
      <c r="E1870" s="331">
        <v>287065.95</v>
      </c>
      <c r="F1870" s="479">
        <v>200</v>
      </c>
    </row>
    <row r="1871" spans="3:6" x14ac:dyDescent="0.2">
      <c r="C1871" s="807">
        <v>44971</v>
      </c>
      <c r="D1871" s="331">
        <f t="shared" si="20"/>
        <v>291765.95</v>
      </c>
      <c r="E1871" s="331">
        <v>291565.95</v>
      </c>
      <c r="F1871" s="479">
        <v>200</v>
      </c>
    </row>
    <row r="1872" spans="3:6" x14ac:dyDescent="0.2">
      <c r="C1872" s="807">
        <v>44972</v>
      </c>
      <c r="D1872" s="331">
        <f t="shared" si="20"/>
        <v>291800.28000000003</v>
      </c>
      <c r="E1872" s="331">
        <v>291600.28000000003</v>
      </c>
      <c r="F1872" s="479">
        <v>200</v>
      </c>
    </row>
    <row r="1873" spans="3:6" x14ac:dyDescent="0.2">
      <c r="C1873" s="807">
        <v>44973</v>
      </c>
      <c r="D1873" s="331">
        <f t="shared" si="20"/>
        <v>298342.23</v>
      </c>
      <c r="E1873" s="331">
        <v>298142.23</v>
      </c>
      <c r="F1873" s="479">
        <v>200</v>
      </c>
    </row>
    <row r="1874" spans="3:6" x14ac:dyDescent="0.2">
      <c r="C1874" s="807">
        <v>44974</v>
      </c>
      <c r="D1874" s="331">
        <f t="shared" si="20"/>
        <v>292633.62</v>
      </c>
      <c r="E1874" s="331">
        <v>292433.62</v>
      </c>
      <c r="F1874" s="479">
        <v>200</v>
      </c>
    </row>
    <row r="1875" spans="3:6" x14ac:dyDescent="0.2">
      <c r="C1875" s="807">
        <v>44977</v>
      </c>
      <c r="D1875" s="331">
        <f t="shared" si="20"/>
        <v>292633.62</v>
      </c>
      <c r="E1875" s="331">
        <f>E1874</f>
        <v>292433.62</v>
      </c>
      <c r="F1875" s="479">
        <v>200</v>
      </c>
    </row>
    <row r="1876" spans="3:6" x14ac:dyDescent="0.2">
      <c r="C1876" s="807">
        <v>44978</v>
      </c>
      <c r="D1876" s="331">
        <f t="shared" si="20"/>
        <v>325449.82</v>
      </c>
      <c r="E1876" s="331">
        <v>325249.82</v>
      </c>
      <c r="F1876" s="479">
        <v>200</v>
      </c>
    </row>
    <row r="1877" spans="3:6" x14ac:dyDescent="0.2">
      <c r="C1877" s="807">
        <v>44979</v>
      </c>
      <c r="D1877" s="331">
        <f t="shared" si="20"/>
        <v>325449.82</v>
      </c>
      <c r="E1877" s="331">
        <f>E1876</f>
        <v>325249.82</v>
      </c>
      <c r="F1877" s="479">
        <v>200</v>
      </c>
    </row>
    <row r="1878" spans="3:6" x14ac:dyDescent="0.2">
      <c r="C1878" s="807">
        <v>44980</v>
      </c>
      <c r="D1878" s="331">
        <f t="shared" si="20"/>
        <v>346374.29</v>
      </c>
      <c r="E1878" s="331">
        <v>346174.29</v>
      </c>
      <c r="F1878" s="479">
        <v>200</v>
      </c>
    </row>
    <row r="1879" spans="3:6" x14ac:dyDescent="0.2">
      <c r="C1879" s="807">
        <v>44981</v>
      </c>
      <c r="D1879" s="331">
        <f t="shared" si="20"/>
        <v>341754.4</v>
      </c>
      <c r="E1879" s="331">
        <v>341554.4</v>
      </c>
      <c r="F1879" s="479">
        <v>200</v>
      </c>
    </row>
    <row r="1880" spans="3:6" x14ac:dyDescent="0.2">
      <c r="C1880" s="807">
        <v>44984</v>
      </c>
      <c r="D1880" s="331">
        <f t="shared" si="20"/>
        <v>330670.37</v>
      </c>
      <c r="E1880" s="331">
        <v>330470.37</v>
      </c>
      <c r="F1880" s="479">
        <v>200</v>
      </c>
    </row>
    <row r="1881" spans="3:6" x14ac:dyDescent="0.2">
      <c r="C1881" s="807">
        <v>44985</v>
      </c>
      <c r="D1881" s="331">
        <f t="shared" si="20"/>
        <v>338045.7</v>
      </c>
      <c r="E1881" s="331">
        <v>337845.7</v>
      </c>
      <c r="F1881" s="479">
        <v>200</v>
      </c>
    </row>
    <row r="1882" spans="3:6" x14ac:dyDescent="0.2">
      <c r="C1882" s="807">
        <v>44986</v>
      </c>
      <c r="D1882" s="331">
        <f t="shared" si="20"/>
        <v>338604.7</v>
      </c>
      <c r="E1882" s="331">
        <v>338404.7</v>
      </c>
      <c r="F1882" s="479">
        <v>200</v>
      </c>
    </row>
    <row r="1883" spans="3:6" x14ac:dyDescent="0.2">
      <c r="C1883" s="807">
        <v>44987</v>
      </c>
      <c r="D1883" s="331">
        <f t="shared" si="20"/>
        <v>329491.15000000002</v>
      </c>
      <c r="E1883" s="331">
        <v>329291.15000000002</v>
      </c>
      <c r="F1883" s="479">
        <v>200</v>
      </c>
    </row>
    <row r="1884" spans="3:6" x14ac:dyDescent="0.2">
      <c r="C1884" s="807">
        <v>44988</v>
      </c>
      <c r="D1884" s="331">
        <f t="shared" si="20"/>
        <v>329106.55</v>
      </c>
      <c r="E1884" s="331">
        <v>328906.55</v>
      </c>
      <c r="F1884" s="479">
        <v>200</v>
      </c>
    </row>
    <row r="1885" spans="3:6" x14ac:dyDescent="0.2">
      <c r="C1885" s="807">
        <v>44991</v>
      </c>
      <c r="D1885" s="331">
        <f t="shared" si="20"/>
        <v>329106.55</v>
      </c>
      <c r="E1885" s="331">
        <f>E1884</f>
        <v>328906.55</v>
      </c>
      <c r="F1885" s="479">
        <v>200</v>
      </c>
    </row>
    <row r="1886" spans="3:6" x14ac:dyDescent="0.2">
      <c r="C1886" s="807">
        <v>44992</v>
      </c>
      <c r="D1886" s="331">
        <f t="shared" si="20"/>
        <v>366692.56</v>
      </c>
      <c r="E1886" s="331">
        <v>366492.56</v>
      </c>
      <c r="F1886" s="479">
        <v>200</v>
      </c>
    </row>
    <row r="1887" spans="3:6" x14ac:dyDescent="0.2">
      <c r="C1887" s="807">
        <v>44993</v>
      </c>
      <c r="D1887" s="331">
        <f t="shared" si="20"/>
        <v>368956.85</v>
      </c>
      <c r="E1887" s="331">
        <v>368756.85</v>
      </c>
      <c r="F1887" s="479">
        <v>200</v>
      </c>
    </row>
    <row r="1888" spans="3:6" x14ac:dyDescent="0.2">
      <c r="C1888" s="807">
        <v>44994</v>
      </c>
      <c r="D1888" s="331">
        <f t="shared" si="20"/>
        <v>390880.67</v>
      </c>
      <c r="E1888" s="331">
        <v>390680.67</v>
      </c>
      <c r="F1888" s="479">
        <v>200</v>
      </c>
    </row>
    <row r="1889" spans="3:6" x14ac:dyDescent="0.2">
      <c r="C1889" s="807">
        <v>44995</v>
      </c>
      <c r="D1889" s="331">
        <f t="shared" si="20"/>
        <v>414120.74</v>
      </c>
      <c r="E1889" s="331">
        <v>413920.74</v>
      </c>
      <c r="F1889" s="479">
        <v>200</v>
      </c>
    </row>
    <row r="1890" spans="3:6" x14ac:dyDescent="0.2">
      <c r="C1890" s="807">
        <v>44998</v>
      </c>
      <c r="D1890" s="331">
        <f t="shared" si="20"/>
        <v>424130.52</v>
      </c>
      <c r="E1890" s="331">
        <v>423930.52</v>
      </c>
      <c r="F1890" s="479">
        <v>200</v>
      </c>
    </row>
    <row r="1891" spans="3:6" x14ac:dyDescent="0.2">
      <c r="C1891" s="807">
        <v>44999</v>
      </c>
      <c r="D1891" s="331">
        <f t="shared" si="20"/>
        <v>424130.52</v>
      </c>
      <c r="E1891" s="331">
        <f>E1890</f>
        <v>423930.52</v>
      </c>
      <c r="F1891" s="479">
        <v>200</v>
      </c>
    </row>
    <row r="1892" spans="3:6" x14ac:dyDescent="0.2">
      <c r="C1892" s="807">
        <v>45000</v>
      </c>
      <c r="D1892" s="331">
        <f t="shared" si="20"/>
        <v>424163.34</v>
      </c>
      <c r="E1892" s="331">
        <v>423963.34</v>
      </c>
      <c r="F1892" s="479">
        <v>200</v>
      </c>
    </row>
    <row r="1893" spans="3:6" x14ac:dyDescent="0.2">
      <c r="C1893" s="807">
        <v>45001</v>
      </c>
      <c r="D1893" s="331">
        <f t="shared" si="20"/>
        <v>422350.37</v>
      </c>
      <c r="E1893" s="331">
        <v>422150.37</v>
      </c>
      <c r="F1893" s="479">
        <v>200</v>
      </c>
    </row>
    <row r="1894" spans="3:6" x14ac:dyDescent="0.2">
      <c r="C1894" s="807">
        <v>45002</v>
      </c>
      <c r="D1894" s="331">
        <f t="shared" si="20"/>
        <v>421965.77</v>
      </c>
      <c r="E1894" s="331">
        <v>421765.77</v>
      </c>
      <c r="F1894" s="479">
        <v>200</v>
      </c>
    </row>
    <row r="1895" spans="3:6" x14ac:dyDescent="0.2">
      <c r="C1895" s="807">
        <v>45005</v>
      </c>
      <c r="D1895" s="331">
        <f t="shared" si="20"/>
        <v>419047.88</v>
      </c>
      <c r="E1895" s="331">
        <v>418847.88</v>
      </c>
      <c r="F1895" s="479">
        <v>200</v>
      </c>
    </row>
    <row r="1896" spans="3:6" x14ac:dyDescent="0.2">
      <c r="C1896" s="807">
        <v>45006</v>
      </c>
      <c r="D1896" s="331">
        <f t="shared" si="20"/>
        <v>425165.2</v>
      </c>
      <c r="E1896" s="331">
        <v>424965.2</v>
      </c>
      <c r="F1896" s="479">
        <v>200</v>
      </c>
    </row>
    <row r="1897" spans="3:6" x14ac:dyDescent="0.2">
      <c r="C1897" s="807">
        <v>45007</v>
      </c>
      <c r="D1897" s="331">
        <f t="shared" si="20"/>
        <v>415468.61</v>
      </c>
      <c r="E1897" s="331">
        <v>415268.61</v>
      </c>
      <c r="F1897" s="479">
        <v>200</v>
      </c>
    </row>
    <row r="1898" spans="3:6" x14ac:dyDescent="0.2">
      <c r="C1898" s="807">
        <v>45008</v>
      </c>
      <c r="D1898" s="331">
        <f t="shared" si="20"/>
        <v>444345.89</v>
      </c>
      <c r="E1898" s="331">
        <v>444145.89</v>
      </c>
      <c r="F1898" s="479">
        <v>200</v>
      </c>
    </row>
    <row r="1899" spans="3:6" x14ac:dyDescent="0.2">
      <c r="C1899" s="807">
        <v>45009</v>
      </c>
      <c r="D1899" s="331">
        <f t="shared" si="20"/>
        <v>444345.89</v>
      </c>
      <c r="E1899" s="331">
        <f>E1898</f>
        <v>444145.89</v>
      </c>
      <c r="F1899" s="479">
        <v>200</v>
      </c>
    </row>
    <row r="1900" spans="3:6" x14ac:dyDescent="0.2">
      <c r="C1900" s="807">
        <v>45012</v>
      </c>
      <c r="D1900" s="364">
        <f t="shared" si="20"/>
        <v>472758.17</v>
      </c>
      <c r="E1900" s="331">
        <v>472558.17</v>
      </c>
      <c r="F1900" s="479">
        <v>200</v>
      </c>
    </row>
    <row r="1901" spans="3:6" x14ac:dyDescent="0.2">
      <c r="C1901" s="807">
        <v>45013</v>
      </c>
      <c r="D1901" s="331">
        <f t="shared" si="20"/>
        <v>431931.97</v>
      </c>
      <c r="E1901" s="331">
        <v>431731.97</v>
      </c>
      <c r="F1901" s="479">
        <v>200</v>
      </c>
    </row>
    <row r="1902" spans="3:6" x14ac:dyDescent="0.2">
      <c r="C1902" s="807">
        <v>45014</v>
      </c>
      <c r="D1902" s="331">
        <f t="shared" si="20"/>
        <v>435079.42</v>
      </c>
      <c r="E1902" s="331">
        <v>434879.42</v>
      </c>
      <c r="F1902" s="479">
        <v>200</v>
      </c>
    </row>
    <row r="1903" spans="3:6" x14ac:dyDescent="0.2">
      <c r="C1903" s="807">
        <v>45015</v>
      </c>
      <c r="D1903" s="331">
        <f t="shared" si="20"/>
        <v>424040.9</v>
      </c>
      <c r="E1903" s="331">
        <v>423840.9</v>
      </c>
      <c r="F1903" s="479">
        <v>200</v>
      </c>
    </row>
    <row r="1904" spans="3:6" x14ac:dyDescent="0.2">
      <c r="C1904" s="807">
        <v>45016</v>
      </c>
      <c r="D1904" s="331">
        <f t="shared" si="20"/>
        <v>449683.31</v>
      </c>
      <c r="E1904" s="331">
        <v>449483.31</v>
      </c>
      <c r="F1904" s="479">
        <v>200</v>
      </c>
    </row>
    <row r="1905" spans="3:6" x14ac:dyDescent="0.2">
      <c r="C1905" s="807">
        <v>45019</v>
      </c>
      <c r="D1905" s="331">
        <f t="shared" si="20"/>
        <v>449683.31</v>
      </c>
      <c r="E1905" s="331">
        <f>E1904</f>
        <v>449483.31</v>
      </c>
      <c r="F1905" s="479">
        <v>200</v>
      </c>
    </row>
    <row r="1906" spans="3:6" x14ac:dyDescent="0.2">
      <c r="C1906" s="807">
        <v>45020</v>
      </c>
      <c r="D1906" s="331">
        <f t="shared" si="20"/>
        <v>449683.31</v>
      </c>
      <c r="E1906" s="331">
        <f>E1905</f>
        <v>449483.31</v>
      </c>
      <c r="F1906" s="479">
        <v>200</v>
      </c>
    </row>
    <row r="1907" spans="3:6" x14ac:dyDescent="0.2">
      <c r="C1907" s="807">
        <v>45021</v>
      </c>
      <c r="D1907" s="331">
        <f t="shared" si="20"/>
        <v>449683.31</v>
      </c>
      <c r="E1907" s="331">
        <f>E1906</f>
        <v>449483.31</v>
      </c>
      <c r="F1907" s="479">
        <v>200</v>
      </c>
    </row>
    <row r="1908" spans="3:6" x14ac:dyDescent="0.2">
      <c r="C1908" s="807">
        <v>45022</v>
      </c>
      <c r="D1908" s="331">
        <f t="shared" si="20"/>
        <v>425038.75</v>
      </c>
      <c r="E1908" s="331">
        <v>424838.75</v>
      </c>
      <c r="F1908" s="479">
        <v>200</v>
      </c>
    </row>
    <row r="1909" spans="3:6" x14ac:dyDescent="0.2">
      <c r="C1909" s="807">
        <v>45023</v>
      </c>
      <c r="D1909" s="331">
        <f t="shared" si="20"/>
        <v>425038.75</v>
      </c>
      <c r="E1909" s="331">
        <f>E1908</f>
        <v>424838.75</v>
      </c>
      <c r="F1909" s="479">
        <v>200</v>
      </c>
    </row>
    <row r="1910" spans="3:6" x14ac:dyDescent="0.2">
      <c r="C1910" s="807">
        <v>45026</v>
      </c>
      <c r="D1910" s="331">
        <f t="shared" si="20"/>
        <v>381899.02</v>
      </c>
      <c r="E1910" s="331">
        <v>381699.02</v>
      </c>
      <c r="F1910" s="479">
        <v>200</v>
      </c>
    </row>
    <row r="1911" spans="3:6" x14ac:dyDescent="0.2">
      <c r="C1911" s="807">
        <v>45027</v>
      </c>
      <c r="D1911" s="331">
        <f t="shared" si="20"/>
        <v>403291.29</v>
      </c>
      <c r="E1911" s="331">
        <v>403091.29</v>
      </c>
      <c r="F1911" s="479">
        <v>200</v>
      </c>
    </row>
    <row r="1912" spans="3:6" x14ac:dyDescent="0.2">
      <c r="C1912" s="807">
        <v>45028</v>
      </c>
      <c r="D1912" s="331">
        <f t="shared" si="20"/>
        <v>398523.39</v>
      </c>
      <c r="E1912" s="331">
        <v>398323.39</v>
      </c>
      <c r="F1912" s="479">
        <v>200</v>
      </c>
    </row>
    <row r="1913" spans="3:6" x14ac:dyDescent="0.2">
      <c r="C1913" s="807">
        <v>45029</v>
      </c>
      <c r="D1913" s="331">
        <f t="shared" si="20"/>
        <v>405256.29</v>
      </c>
      <c r="E1913" s="331">
        <v>405056.29</v>
      </c>
      <c r="F1913" s="479">
        <v>200</v>
      </c>
    </row>
    <row r="1914" spans="3:6" x14ac:dyDescent="0.2">
      <c r="C1914" s="807">
        <v>45030</v>
      </c>
      <c r="D1914" s="331">
        <f t="shared" si="20"/>
        <v>404915.18</v>
      </c>
      <c r="E1914" s="331">
        <v>404715.18</v>
      </c>
      <c r="F1914" s="479">
        <v>200</v>
      </c>
    </row>
    <row r="1915" spans="3:6" x14ac:dyDescent="0.2">
      <c r="C1915" s="807">
        <v>45033</v>
      </c>
      <c r="D1915" s="331">
        <f t="shared" si="20"/>
        <v>403828.39</v>
      </c>
      <c r="E1915" s="331">
        <v>403628.39</v>
      </c>
      <c r="F1915" s="479">
        <v>200</v>
      </c>
    </row>
    <row r="1916" spans="3:6" x14ac:dyDescent="0.2">
      <c r="C1916" s="807">
        <v>45034</v>
      </c>
      <c r="D1916" s="331">
        <f t="shared" si="20"/>
        <v>403828.39</v>
      </c>
      <c r="E1916" s="331">
        <f>E1915</f>
        <v>403628.39</v>
      </c>
      <c r="F1916" s="479">
        <v>200</v>
      </c>
    </row>
    <row r="1917" spans="3:6" x14ac:dyDescent="0.2">
      <c r="C1917" s="807">
        <v>45035</v>
      </c>
      <c r="D1917" s="331">
        <f t="shared" si="20"/>
        <v>434721.04</v>
      </c>
      <c r="E1917" s="331">
        <v>434521.04</v>
      </c>
      <c r="F1917" s="479">
        <v>200</v>
      </c>
    </row>
    <row r="1918" spans="3:6" x14ac:dyDescent="0.2">
      <c r="C1918" s="807">
        <v>45036</v>
      </c>
      <c r="D1918" s="331">
        <f t="shared" si="20"/>
        <v>421127.98</v>
      </c>
      <c r="E1918" s="331">
        <v>420927.98</v>
      </c>
      <c r="F1918" s="479">
        <v>200</v>
      </c>
    </row>
    <row r="1919" spans="3:6" x14ac:dyDescent="0.2">
      <c r="C1919" s="807">
        <v>45037</v>
      </c>
      <c r="D1919" s="331">
        <f t="shared" si="20"/>
        <v>420969.13</v>
      </c>
      <c r="E1919" s="331">
        <v>420769.13</v>
      </c>
      <c r="F1919" s="479">
        <v>200</v>
      </c>
    </row>
    <row r="1920" spans="3:6" x14ac:dyDescent="0.2">
      <c r="C1920" s="807">
        <v>45040</v>
      </c>
      <c r="D1920" s="331">
        <f t="shared" si="20"/>
        <v>420969.13</v>
      </c>
      <c r="E1920" s="331">
        <f>E1919</f>
        <v>420769.13</v>
      </c>
      <c r="F1920" s="479">
        <v>200</v>
      </c>
    </row>
    <row r="1921" spans="3:6" x14ac:dyDescent="0.2">
      <c r="C1921" s="807">
        <v>45041</v>
      </c>
      <c r="D1921" s="331">
        <f t="shared" si="20"/>
        <v>379345</v>
      </c>
      <c r="E1921" s="331">
        <v>379145</v>
      </c>
      <c r="F1921" s="479">
        <v>200</v>
      </c>
    </row>
    <row r="1922" spans="3:6" x14ac:dyDescent="0.2">
      <c r="C1922" s="807">
        <v>45042</v>
      </c>
      <c r="D1922" s="331">
        <f t="shared" si="20"/>
        <v>379345</v>
      </c>
      <c r="E1922" s="331">
        <f>E1921</f>
        <v>379145</v>
      </c>
      <c r="F1922" s="479">
        <v>200</v>
      </c>
    </row>
    <row r="1923" spans="3:6" x14ac:dyDescent="0.2">
      <c r="C1923" s="807">
        <v>45043</v>
      </c>
      <c r="D1923" s="331">
        <f t="shared" si="20"/>
        <v>379345</v>
      </c>
      <c r="E1923" s="331">
        <f>E1922</f>
        <v>379145</v>
      </c>
      <c r="F1923" s="479">
        <v>200</v>
      </c>
    </row>
    <row r="1924" spans="3:6" x14ac:dyDescent="0.2">
      <c r="C1924" s="807">
        <v>45044</v>
      </c>
      <c r="D1924" s="331">
        <f t="shared" si="20"/>
        <v>402577.21</v>
      </c>
      <c r="E1924" s="331">
        <v>402377.21</v>
      </c>
      <c r="F1924" s="479">
        <v>200</v>
      </c>
    </row>
    <row r="1925" spans="3:6" x14ac:dyDescent="0.2">
      <c r="C1925" s="807">
        <v>45044</v>
      </c>
      <c r="D1925" s="331">
        <f t="shared" si="20"/>
        <v>402733.09</v>
      </c>
      <c r="E1925" s="331">
        <v>402533.09</v>
      </c>
      <c r="F1925" s="479">
        <v>200</v>
      </c>
    </row>
    <row r="1926" spans="3:6" x14ac:dyDescent="0.2">
      <c r="C1926" s="807">
        <v>45047</v>
      </c>
      <c r="D1926" s="331">
        <f t="shared" si="20"/>
        <v>403316.09</v>
      </c>
      <c r="E1926" s="331">
        <v>403116.09</v>
      </c>
      <c r="F1926" s="479">
        <v>200</v>
      </c>
    </row>
    <row r="1927" spans="3:6" x14ac:dyDescent="0.2">
      <c r="C1927" s="807">
        <v>45048</v>
      </c>
      <c r="D1927" s="331">
        <f t="shared" si="20"/>
        <v>403316.09</v>
      </c>
      <c r="E1927" s="331">
        <f t="shared" ref="E1927:E1948" si="21">E1926</f>
        <v>403116.09</v>
      </c>
      <c r="F1927" s="479">
        <v>200</v>
      </c>
    </row>
    <row r="1928" spans="3:6" x14ac:dyDescent="0.2">
      <c r="C1928" s="807">
        <v>45049</v>
      </c>
      <c r="D1928" s="331">
        <f t="shared" si="20"/>
        <v>385876.12</v>
      </c>
      <c r="E1928" s="331">
        <v>385676.12</v>
      </c>
      <c r="F1928" s="479">
        <v>200</v>
      </c>
    </row>
    <row r="1929" spans="3:6" x14ac:dyDescent="0.2">
      <c r="C1929" s="807">
        <v>45050</v>
      </c>
      <c r="D1929" s="331">
        <f t="shared" si="20"/>
        <v>351812.45</v>
      </c>
      <c r="E1929" s="331">
        <v>351612.45</v>
      </c>
      <c r="F1929" s="479">
        <v>200</v>
      </c>
    </row>
    <row r="1930" spans="3:6" x14ac:dyDescent="0.2">
      <c r="C1930" s="807">
        <v>45051</v>
      </c>
      <c r="D1930" s="331">
        <f t="shared" ref="D1930:D1993" si="22">E1930+F1930</f>
        <v>351812.45</v>
      </c>
      <c r="E1930" s="331">
        <f t="shared" si="21"/>
        <v>351612.45</v>
      </c>
      <c r="F1930" s="479">
        <v>200</v>
      </c>
    </row>
    <row r="1931" spans="3:6" x14ac:dyDescent="0.2">
      <c r="C1931" s="807">
        <v>45054</v>
      </c>
      <c r="D1931" s="331">
        <f t="shared" si="22"/>
        <v>368195.43</v>
      </c>
      <c r="E1931" s="331">
        <v>367995.43</v>
      </c>
      <c r="F1931" s="479">
        <v>200</v>
      </c>
    </row>
    <row r="1932" spans="3:6" x14ac:dyDescent="0.2">
      <c r="C1932" s="807">
        <v>45055</v>
      </c>
      <c r="D1932" s="331">
        <f t="shared" si="22"/>
        <v>368195.43</v>
      </c>
      <c r="E1932" s="331">
        <f t="shared" si="21"/>
        <v>367995.43</v>
      </c>
      <c r="F1932" s="479">
        <v>200</v>
      </c>
    </row>
    <row r="1933" spans="3:6" x14ac:dyDescent="0.2">
      <c r="C1933" s="807">
        <v>45056</v>
      </c>
      <c r="D1933" s="331">
        <f t="shared" si="22"/>
        <v>368195.43</v>
      </c>
      <c r="E1933" s="331">
        <f t="shared" si="21"/>
        <v>367995.43</v>
      </c>
      <c r="F1933" s="479">
        <v>200</v>
      </c>
    </row>
    <row r="1934" spans="3:6" x14ac:dyDescent="0.2">
      <c r="C1934" s="807">
        <v>45057</v>
      </c>
      <c r="D1934" s="331">
        <f t="shared" si="22"/>
        <v>368195.43</v>
      </c>
      <c r="E1934" s="331">
        <f t="shared" si="21"/>
        <v>367995.43</v>
      </c>
      <c r="F1934" s="479">
        <v>200</v>
      </c>
    </row>
    <row r="1935" spans="3:6" x14ac:dyDescent="0.2">
      <c r="C1935" s="807">
        <v>45058</v>
      </c>
      <c r="D1935" s="331">
        <f t="shared" si="22"/>
        <v>367810.83</v>
      </c>
      <c r="E1935" s="331">
        <v>367610.83</v>
      </c>
      <c r="F1935" s="479">
        <v>200</v>
      </c>
    </row>
    <row r="1936" spans="3:6" x14ac:dyDescent="0.2">
      <c r="C1936" s="807">
        <v>45061</v>
      </c>
      <c r="D1936" s="331">
        <f t="shared" si="22"/>
        <v>367851.39</v>
      </c>
      <c r="E1936" s="331">
        <v>367651.39</v>
      </c>
      <c r="F1936" s="479">
        <v>200</v>
      </c>
    </row>
    <row r="1937" spans="3:6" x14ac:dyDescent="0.2">
      <c r="C1937" s="807">
        <v>45062</v>
      </c>
      <c r="D1937" s="331">
        <f t="shared" si="22"/>
        <v>367851.39</v>
      </c>
      <c r="E1937" s="331">
        <f t="shared" si="21"/>
        <v>367651.39</v>
      </c>
      <c r="F1937" s="479">
        <v>200</v>
      </c>
    </row>
    <row r="1938" spans="3:6" x14ac:dyDescent="0.2">
      <c r="C1938" s="807">
        <v>45063</v>
      </c>
      <c r="D1938" s="331">
        <f t="shared" si="22"/>
        <v>367851.39</v>
      </c>
      <c r="E1938" s="331">
        <f t="shared" si="21"/>
        <v>367651.39</v>
      </c>
      <c r="F1938" s="479">
        <v>200</v>
      </c>
    </row>
    <row r="1939" spans="3:6" x14ac:dyDescent="0.2">
      <c r="C1939" s="807">
        <v>45064</v>
      </c>
      <c r="D1939" s="331">
        <f t="shared" si="22"/>
        <v>356642.57</v>
      </c>
      <c r="E1939" s="331">
        <v>356442.57</v>
      </c>
      <c r="F1939" s="479">
        <v>200</v>
      </c>
    </row>
    <row r="1940" spans="3:6" x14ac:dyDescent="0.2">
      <c r="C1940" s="807">
        <v>45065</v>
      </c>
      <c r="D1940" s="331">
        <f t="shared" si="22"/>
        <v>356642.57</v>
      </c>
      <c r="E1940" s="331">
        <f t="shared" si="21"/>
        <v>356442.57</v>
      </c>
      <c r="F1940" s="479">
        <v>200</v>
      </c>
    </row>
    <row r="1941" spans="3:6" x14ac:dyDescent="0.2">
      <c r="C1941" s="807">
        <v>45068</v>
      </c>
      <c r="D1941" s="331">
        <f t="shared" si="22"/>
        <v>308974.21000000002</v>
      </c>
      <c r="E1941" s="331">
        <v>308774.21000000002</v>
      </c>
      <c r="F1941" s="479">
        <v>200</v>
      </c>
    </row>
    <row r="1942" spans="3:6" x14ac:dyDescent="0.2">
      <c r="C1942" s="807">
        <v>45069</v>
      </c>
      <c r="D1942" s="331">
        <f t="shared" si="22"/>
        <v>338753.05</v>
      </c>
      <c r="E1942" s="331">
        <v>338553.05</v>
      </c>
      <c r="F1942" s="479">
        <v>200</v>
      </c>
    </row>
    <row r="1943" spans="3:6" x14ac:dyDescent="0.2">
      <c r="C1943" s="807">
        <v>45070</v>
      </c>
      <c r="D1943" s="331">
        <f t="shared" si="22"/>
        <v>391263.14</v>
      </c>
      <c r="E1943" s="331">
        <v>391063.14</v>
      </c>
      <c r="F1943" s="479">
        <v>200</v>
      </c>
    </row>
    <row r="1944" spans="3:6" x14ac:dyDescent="0.2">
      <c r="C1944" s="807">
        <v>45071</v>
      </c>
      <c r="D1944" s="331">
        <f t="shared" si="22"/>
        <v>391263.14</v>
      </c>
      <c r="E1944" s="331">
        <f t="shared" si="21"/>
        <v>391063.14</v>
      </c>
      <c r="F1944" s="479">
        <v>200</v>
      </c>
    </row>
    <row r="1945" spans="3:6" x14ac:dyDescent="0.2">
      <c r="C1945" s="807">
        <v>45072</v>
      </c>
      <c r="D1945" s="331">
        <f t="shared" si="22"/>
        <v>449119.47</v>
      </c>
      <c r="E1945" s="331">
        <v>448919.47</v>
      </c>
      <c r="F1945" s="479">
        <v>200</v>
      </c>
    </row>
    <row r="1946" spans="3:6" x14ac:dyDescent="0.2">
      <c r="C1946" s="807">
        <v>45075</v>
      </c>
      <c r="D1946" s="331">
        <f t="shared" si="22"/>
        <v>449119.47</v>
      </c>
      <c r="E1946" s="331">
        <f t="shared" si="21"/>
        <v>448919.47</v>
      </c>
      <c r="F1946" s="479">
        <v>200</v>
      </c>
    </row>
    <row r="1947" spans="3:6" x14ac:dyDescent="0.2">
      <c r="C1947" s="807">
        <v>45076</v>
      </c>
      <c r="D1947" s="331">
        <f t="shared" si="22"/>
        <v>448869.47</v>
      </c>
      <c r="E1947" s="331">
        <v>448669.47</v>
      </c>
      <c r="F1947" s="479">
        <v>200</v>
      </c>
    </row>
    <row r="1948" spans="3:6" x14ac:dyDescent="0.2">
      <c r="C1948" s="807">
        <v>45077</v>
      </c>
      <c r="D1948" s="331">
        <f t="shared" si="22"/>
        <v>448869.47</v>
      </c>
      <c r="E1948" s="331">
        <f t="shared" si="21"/>
        <v>448669.47</v>
      </c>
      <c r="F1948" s="479">
        <v>200</v>
      </c>
    </row>
    <row r="1949" spans="3:6" x14ac:dyDescent="0.2">
      <c r="C1949" s="807">
        <v>45078</v>
      </c>
      <c r="D1949" s="331">
        <f t="shared" si="22"/>
        <v>438853.17</v>
      </c>
      <c r="E1949" s="331">
        <v>438653.17</v>
      </c>
      <c r="F1949" s="479">
        <v>200</v>
      </c>
    </row>
    <row r="1950" spans="3:6" x14ac:dyDescent="0.2">
      <c r="C1950" s="807">
        <v>45079</v>
      </c>
      <c r="D1950" s="331">
        <f t="shared" si="22"/>
        <v>439117.17</v>
      </c>
      <c r="E1950" s="331">
        <v>438917.17</v>
      </c>
      <c r="F1950" s="479">
        <v>200</v>
      </c>
    </row>
    <row r="1951" spans="3:6" x14ac:dyDescent="0.2">
      <c r="C1951" s="807">
        <v>45082</v>
      </c>
      <c r="D1951" s="331">
        <f t="shared" si="22"/>
        <v>407163.47</v>
      </c>
      <c r="E1951" s="331">
        <v>406963.47</v>
      </c>
      <c r="F1951" s="479">
        <v>200</v>
      </c>
    </row>
    <row r="1952" spans="3:6" x14ac:dyDescent="0.2">
      <c r="C1952" s="807">
        <v>45083</v>
      </c>
      <c r="D1952" s="331">
        <f t="shared" si="22"/>
        <v>415855.1</v>
      </c>
      <c r="E1952" s="331">
        <v>415655.1</v>
      </c>
      <c r="F1952" s="479">
        <v>200</v>
      </c>
    </row>
    <row r="1953" spans="3:6" x14ac:dyDescent="0.2">
      <c r="C1953" s="807">
        <v>45084</v>
      </c>
      <c r="D1953" s="331">
        <f t="shared" si="22"/>
        <v>415855.1</v>
      </c>
      <c r="E1953" s="331">
        <f>E1952</f>
        <v>415655.1</v>
      </c>
      <c r="F1953" s="479">
        <v>200</v>
      </c>
    </row>
    <row r="1954" spans="3:6" x14ac:dyDescent="0.2">
      <c r="C1954" s="807">
        <v>45085</v>
      </c>
      <c r="D1954" s="331">
        <f t="shared" si="22"/>
        <v>412361.18</v>
      </c>
      <c r="E1954" s="331">
        <v>412161.18</v>
      </c>
      <c r="F1954" s="479">
        <v>200</v>
      </c>
    </row>
    <row r="1955" spans="3:6" x14ac:dyDescent="0.2">
      <c r="C1955" s="807">
        <v>45086</v>
      </c>
      <c r="D1955" s="331">
        <f t="shared" si="22"/>
        <v>411976.58</v>
      </c>
      <c r="E1955" s="331">
        <v>411776.58</v>
      </c>
      <c r="F1955" s="479">
        <v>200</v>
      </c>
    </row>
    <row r="1956" spans="3:6" x14ac:dyDescent="0.2">
      <c r="C1956" s="807">
        <v>45089</v>
      </c>
      <c r="D1956" s="331">
        <f t="shared" si="22"/>
        <v>412491.58</v>
      </c>
      <c r="E1956" s="331">
        <v>412291.58</v>
      </c>
      <c r="F1956" s="479">
        <v>200</v>
      </c>
    </row>
    <row r="1957" spans="3:6" x14ac:dyDescent="0.2">
      <c r="C1957" s="807">
        <v>45090</v>
      </c>
      <c r="D1957" s="331">
        <f t="shared" si="22"/>
        <v>412491.58</v>
      </c>
      <c r="E1957" s="331">
        <f>E1956</f>
        <v>412291.58</v>
      </c>
      <c r="F1957" s="479">
        <v>200</v>
      </c>
    </row>
    <row r="1958" spans="3:6" x14ac:dyDescent="0.2">
      <c r="C1958" s="807">
        <v>45091</v>
      </c>
      <c r="D1958" s="331">
        <f t="shared" si="22"/>
        <v>412491.58</v>
      </c>
      <c r="E1958" s="331">
        <f>E1957</f>
        <v>412291.58</v>
      </c>
      <c r="F1958" s="479">
        <v>200</v>
      </c>
    </row>
    <row r="1959" spans="3:6" x14ac:dyDescent="0.2">
      <c r="C1959" s="807">
        <v>45092</v>
      </c>
      <c r="D1959" s="331">
        <f t="shared" si="22"/>
        <v>421884.75</v>
      </c>
      <c r="E1959" s="331">
        <v>421684.75</v>
      </c>
      <c r="F1959" s="479">
        <v>200</v>
      </c>
    </row>
    <row r="1960" spans="3:6" x14ac:dyDescent="0.2">
      <c r="C1960" s="807">
        <v>45093</v>
      </c>
      <c r="D1960" s="331">
        <f t="shared" si="22"/>
        <v>421884.75</v>
      </c>
      <c r="E1960" s="331">
        <f>E1959</f>
        <v>421684.75</v>
      </c>
      <c r="F1960" s="479">
        <v>200</v>
      </c>
    </row>
    <row r="1961" spans="3:6" x14ac:dyDescent="0.2">
      <c r="C1961" s="807">
        <v>45096</v>
      </c>
      <c r="D1961" s="331">
        <f t="shared" si="22"/>
        <v>422030.75</v>
      </c>
      <c r="E1961" s="331">
        <v>421830.75</v>
      </c>
      <c r="F1961" s="479">
        <v>200</v>
      </c>
    </row>
    <row r="1962" spans="3:6" x14ac:dyDescent="0.2">
      <c r="C1962" s="807">
        <v>45097</v>
      </c>
      <c r="D1962" s="331">
        <f t="shared" si="22"/>
        <v>384440.18</v>
      </c>
      <c r="E1962" s="331">
        <v>384240.18</v>
      </c>
      <c r="F1962" s="479">
        <v>200</v>
      </c>
    </row>
    <row r="1963" spans="3:6" x14ac:dyDescent="0.2">
      <c r="C1963" s="807">
        <v>45098</v>
      </c>
      <c r="D1963" s="331">
        <f t="shared" si="22"/>
        <v>383701.41</v>
      </c>
      <c r="E1963" s="331">
        <v>383501.41</v>
      </c>
      <c r="F1963" s="479">
        <v>200</v>
      </c>
    </row>
    <row r="1964" spans="3:6" x14ac:dyDescent="0.2">
      <c r="C1964" s="807">
        <v>45099</v>
      </c>
      <c r="D1964" s="331">
        <f t="shared" si="22"/>
        <v>384859.49</v>
      </c>
      <c r="E1964" s="331">
        <v>384659.49</v>
      </c>
      <c r="F1964" s="479">
        <v>200</v>
      </c>
    </row>
    <row r="1965" spans="3:6" x14ac:dyDescent="0.2">
      <c r="C1965" s="807">
        <v>45100</v>
      </c>
      <c r="D1965" s="331">
        <f t="shared" si="22"/>
        <v>412308.62</v>
      </c>
      <c r="E1965" s="331">
        <v>412108.62</v>
      </c>
      <c r="F1965" s="479">
        <v>200</v>
      </c>
    </row>
    <row r="1966" spans="3:6" x14ac:dyDescent="0.2">
      <c r="C1966" s="807">
        <v>45103</v>
      </c>
      <c r="D1966" s="331">
        <f t="shared" si="22"/>
        <v>412308.62</v>
      </c>
      <c r="E1966" s="331">
        <f>E1965</f>
        <v>412108.62</v>
      </c>
      <c r="F1966" s="479">
        <v>200</v>
      </c>
    </row>
    <row r="1967" spans="3:6" x14ac:dyDescent="0.2">
      <c r="C1967" s="807">
        <v>45104</v>
      </c>
      <c r="D1967" s="331">
        <f t="shared" si="22"/>
        <v>412282.92</v>
      </c>
      <c r="E1967" s="331">
        <v>412082.92</v>
      </c>
      <c r="F1967" s="479">
        <v>200</v>
      </c>
    </row>
    <row r="1968" spans="3:6" x14ac:dyDescent="0.2">
      <c r="C1968" s="807">
        <v>45105</v>
      </c>
      <c r="D1968" s="331">
        <f t="shared" si="22"/>
        <v>402422.58</v>
      </c>
      <c r="E1968" s="331">
        <v>402222.58</v>
      </c>
      <c r="F1968" s="479">
        <v>200</v>
      </c>
    </row>
    <row r="1969" spans="3:6" x14ac:dyDescent="0.2">
      <c r="C1969" s="807">
        <v>45106</v>
      </c>
      <c r="D1969" s="331">
        <f t="shared" si="22"/>
        <v>402266.7</v>
      </c>
      <c r="E1969" s="331">
        <v>402066.7</v>
      </c>
      <c r="F1969" s="479">
        <v>200</v>
      </c>
    </row>
    <row r="1970" spans="3:6" x14ac:dyDescent="0.2">
      <c r="C1970" s="807">
        <v>45107</v>
      </c>
      <c r="D1970" s="331">
        <f t="shared" si="22"/>
        <v>407981.99</v>
      </c>
      <c r="E1970" s="331">
        <v>407781.99</v>
      </c>
      <c r="F1970" s="479">
        <v>200</v>
      </c>
    </row>
    <row r="1971" spans="3:6" x14ac:dyDescent="0.2">
      <c r="C1971" s="807">
        <v>45110</v>
      </c>
      <c r="D1971" s="331">
        <f t="shared" si="22"/>
        <v>373219.37</v>
      </c>
      <c r="E1971" s="331">
        <v>373019.37</v>
      </c>
      <c r="F1971" s="479">
        <v>200</v>
      </c>
    </row>
    <row r="1972" spans="3:6" x14ac:dyDescent="0.2">
      <c r="C1972" s="807">
        <v>45111</v>
      </c>
      <c r="D1972" s="331">
        <f t="shared" si="22"/>
        <v>373219.37</v>
      </c>
      <c r="E1972" s="331">
        <f>E1971</f>
        <v>373019.37</v>
      </c>
      <c r="F1972" s="479">
        <v>200</v>
      </c>
    </row>
    <row r="1973" spans="3:6" x14ac:dyDescent="0.2">
      <c r="C1973" s="807">
        <v>45112</v>
      </c>
      <c r="D1973" s="331">
        <f t="shared" si="22"/>
        <v>373219.37</v>
      </c>
      <c r="E1973" s="331">
        <f>E1972</f>
        <v>373019.37</v>
      </c>
      <c r="F1973" s="479">
        <v>200</v>
      </c>
    </row>
    <row r="1974" spans="3:6" x14ac:dyDescent="0.2">
      <c r="C1974" s="807">
        <v>45113</v>
      </c>
      <c r="D1974" s="331">
        <f t="shared" si="22"/>
        <v>376696.27</v>
      </c>
      <c r="E1974" s="331">
        <v>376496.27</v>
      </c>
      <c r="F1974" s="479">
        <v>200</v>
      </c>
    </row>
    <row r="1975" spans="3:6" x14ac:dyDescent="0.2">
      <c r="C1975" s="807">
        <v>45114</v>
      </c>
      <c r="D1975" s="331">
        <f t="shared" si="22"/>
        <v>376906.67</v>
      </c>
      <c r="E1975" s="331">
        <v>376706.67</v>
      </c>
      <c r="F1975" s="479">
        <v>200</v>
      </c>
    </row>
    <row r="1976" spans="3:6" x14ac:dyDescent="0.2">
      <c r="C1976" s="807">
        <v>45117</v>
      </c>
      <c r="D1976" s="331">
        <f t="shared" si="22"/>
        <v>377111.67</v>
      </c>
      <c r="E1976" s="331">
        <v>376911.67</v>
      </c>
      <c r="F1976" s="479">
        <v>200</v>
      </c>
    </row>
    <row r="1977" spans="3:6" x14ac:dyDescent="0.2">
      <c r="C1977" s="807">
        <v>45118</v>
      </c>
      <c r="D1977" s="331">
        <f t="shared" si="22"/>
        <v>378617.91</v>
      </c>
      <c r="E1977" s="331">
        <v>378417.91</v>
      </c>
      <c r="F1977" s="479">
        <v>200</v>
      </c>
    </row>
    <row r="1978" spans="3:6" x14ac:dyDescent="0.2">
      <c r="C1978" s="807">
        <v>45119</v>
      </c>
      <c r="D1978" s="331">
        <f t="shared" si="22"/>
        <v>378999.91</v>
      </c>
      <c r="E1978" s="331">
        <v>378799.91</v>
      </c>
      <c r="F1978" s="479">
        <v>200</v>
      </c>
    </row>
    <row r="1979" spans="3:6" x14ac:dyDescent="0.2">
      <c r="C1979" s="807">
        <v>45120</v>
      </c>
      <c r="D1979" s="331">
        <f t="shared" si="22"/>
        <v>399013.52</v>
      </c>
      <c r="E1979" s="331">
        <v>398813.52</v>
      </c>
      <c r="F1979" s="479">
        <v>200</v>
      </c>
    </row>
    <row r="1980" spans="3:6" x14ac:dyDescent="0.2">
      <c r="C1980" s="807">
        <v>45121</v>
      </c>
      <c r="D1980" s="331">
        <f t="shared" si="22"/>
        <v>399052</v>
      </c>
      <c r="E1980" s="331">
        <v>398852</v>
      </c>
      <c r="F1980" s="479">
        <v>200</v>
      </c>
    </row>
    <row r="1981" spans="3:6" x14ac:dyDescent="0.2">
      <c r="C1981" s="807">
        <v>45124</v>
      </c>
      <c r="D1981" s="331">
        <f t="shared" si="22"/>
        <v>398802</v>
      </c>
      <c r="E1981" s="331">
        <v>398602</v>
      </c>
      <c r="F1981" s="479">
        <v>200</v>
      </c>
    </row>
    <row r="1982" spans="3:6" x14ac:dyDescent="0.2">
      <c r="C1982" s="807">
        <v>45125</v>
      </c>
      <c r="D1982" s="331">
        <f t="shared" si="22"/>
        <v>415884.95</v>
      </c>
      <c r="E1982" s="331">
        <v>415684.95</v>
      </c>
      <c r="F1982" s="479">
        <v>200</v>
      </c>
    </row>
    <row r="1983" spans="3:6" x14ac:dyDescent="0.2">
      <c r="C1983" s="807">
        <v>45126</v>
      </c>
      <c r="D1983" s="331">
        <f t="shared" si="22"/>
        <v>416084.95</v>
      </c>
      <c r="E1983" s="331">
        <v>415884.95</v>
      </c>
      <c r="F1983" s="479">
        <v>200</v>
      </c>
    </row>
    <row r="1984" spans="3:6" x14ac:dyDescent="0.2">
      <c r="C1984" s="807">
        <v>45127</v>
      </c>
      <c r="D1984" s="331">
        <f t="shared" si="22"/>
        <v>409180.98</v>
      </c>
      <c r="E1984" s="331">
        <v>408980.98</v>
      </c>
      <c r="F1984" s="479">
        <v>200</v>
      </c>
    </row>
    <row r="1985" spans="3:6" x14ac:dyDescent="0.2">
      <c r="C1985" s="807">
        <v>45128</v>
      </c>
      <c r="D1985" s="331">
        <f t="shared" si="22"/>
        <v>411006.01</v>
      </c>
      <c r="E1985" s="331">
        <v>410806.01</v>
      </c>
      <c r="F1985" s="479">
        <v>200</v>
      </c>
    </row>
    <row r="1986" spans="3:6" x14ac:dyDescent="0.2">
      <c r="C1986" s="807">
        <v>45131</v>
      </c>
      <c r="D1986" s="331">
        <f t="shared" si="22"/>
        <v>411445.54</v>
      </c>
      <c r="E1986" s="331">
        <v>411245.54</v>
      </c>
      <c r="F1986" s="479">
        <v>200</v>
      </c>
    </row>
    <row r="1987" spans="3:6" x14ac:dyDescent="0.2">
      <c r="C1987" s="807">
        <v>45132</v>
      </c>
      <c r="D1987" s="331">
        <f t="shared" si="22"/>
        <v>412425.15</v>
      </c>
      <c r="E1987" s="331">
        <v>412225.15</v>
      </c>
      <c r="F1987" s="479">
        <v>200</v>
      </c>
    </row>
    <row r="1988" spans="3:6" x14ac:dyDescent="0.2">
      <c r="C1988" s="807">
        <v>45133</v>
      </c>
      <c r="D1988" s="331">
        <f t="shared" si="22"/>
        <v>412425.15</v>
      </c>
      <c r="E1988" s="331">
        <f>E1987</f>
        <v>412225.15</v>
      </c>
      <c r="F1988" s="479">
        <v>200</v>
      </c>
    </row>
    <row r="1989" spans="3:6" x14ac:dyDescent="0.2">
      <c r="C1989" s="807">
        <v>45134</v>
      </c>
      <c r="D1989" s="331">
        <f t="shared" si="22"/>
        <v>387088.04</v>
      </c>
      <c r="E1989" s="331">
        <v>386888.04</v>
      </c>
      <c r="F1989" s="479">
        <v>200</v>
      </c>
    </row>
    <row r="1990" spans="3:6" x14ac:dyDescent="0.2">
      <c r="C1990" s="807">
        <v>45135</v>
      </c>
      <c r="D1990" s="331">
        <f t="shared" si="22"/>
        <v>405857.22</v>
      </c>
      <c r="E1990" s="331">
        <v>405657.22</v>
      </c>
      <c r="F1990" s="479">
        <v>200</v>
      </c>
    </row>
    <row r="1991" spans="3:6" x14ac:dyDescent="0.2">
      <c r="C1991" s="807">
        <v>45138</v>
      </c>
      <c r="D1991" s="331">
        <f t="shared" si="22"/>
        <v>404076.54</v>
      </c>
      <c r="E1991" s="331">
        <v>403876.54</v>
      </c>
      <c r="F1991" s="479">
        <v>200</v>
      </c>
    </row>
    <row r="1992" spans="3:6" x14ac:dyDescent="0.2">
      <c r="C1992" s="807">
        <v>45139</v>
      </c>
      <c r="D1992" s="331">
        <f t="shared" si="22"/>
        <v>390920.58</v>
      </c>
      <c r="E1992" s="331">
        <v>390720.58</v>
      </c>
      <c r="F1992" s="479">
        <v>200</v>
      </c>
    </row>
    <row r="1993" spans="3:6" x14ac:dyDescent="0.2">
      <c r="C1993" s="807">
        <v>45140</v>
      </c>
      <c r="D1993" s="331">
        <f t="shared" si="22"/>
        <v>390920.58</v>
      </c>
      <c r="E1993" s="331">
        <f>E1992</f>
        <v>390720.58</v>
      </c>
      <c r="F1993" s="479">
        <v>200</v>
      </c>
    </row>
    <row r="1994" spans="3:6" x14ac:dyDescent="0.2">
      <c r="C1994" s="807">
        <v>45141</v>
      </c>
      <c r="D1994" s="331">
        <f t="shared" ref="D1994:D2057" si="23">E1994+F1994</f>
        <v>386738.53</v>
      </c>
      <c r="E1994" s="331">
        <v>386538.53</v>
      </c>
      <c r="F1994" s="479">
        <v>200</v>
      </c>
    </row>
    <row r="1995" spans="3:6" x14ac:dyDescent="0.2">
      <c r="C1995" s="807">
        <v>45142</v>
      </c>
      <c r="D1995" s="331">
        <f t="shared" si="23"/>
        <v>384493.66</v>
      </c>
      <c r="E1995" s="331">
        <v>384293.66</v>
      </c>
      <c r="F1995" s="479">
        <v>200</v>
      </c>
    </row>
    <row r="1996" spans="3:6" x14ac:dyDescent="0.2">
      <c r="C1996" s="807">
        <v>45145</v>
      </c>
      <c r="D1996" s="331">
        <f t="shared" si="23"/>
        <v>385493.66</v>
      </c>
      <c r="E1996" s="331">
        <v>385293.66</v>
      </c>
      <c r="F1996" s="479">
        <v>200</v>
      </c>
    </row>
    <row r="1997" spans="3:6" x14ac:dyDescent="0.2">
      <c r="C1997" s="807">
        <v>45146</v>
      </c>
      <c r="D1997" s="331">
        <f t="shared" si="23"/>
        <v>385493.66</v>
      </c>
      <c r="E1997" s="331">
        <f>E1996</f>
        <v>385293.66</v>
      </c>
      <c r="F1997" s="479">
        <v>200</v>
      </c>
    </row>
    <row r="1998" spans="3:6" x14ac:dyDescent="0.2">
      <c r="C1998" s="807">
        <v>45147</v>
      </c>
      <c r="D1998" s="331">
        <f t="shared" si="23"/>
        <v>385493.66</v>
      </c>
      <c r="E1998" s="331">
        <f>E1997</f>
        <v>385293.66</v>
      </c>
      <c r="F1998" s="479">
        <v>200</v>
      </c>
    </row>
    <row r="1999" spans="3:6" x14ac:dyDescent="0.2">
      <c r="C1999" s="807">
        <v>45148</v>
      </c>
      <c r="D1999" s="331">
        <f t="shared" si="23"/>
        <v>385493.66</v>
      </c>
      <c r="E1999" s="331">
        <f>E1998</f>
        <v>385293.66</v>
      </c>
      <c r="F1999" s="479">
        <v>200</v>
      </c>
    </row>
    <row r="2000" spans="3:6" x14ac:dyDescent="0.2">
      <c r="C2000" s="807">
        <v>45149</v>
      </c>
      <c r="D2000" s="331">
        <f t="shared" si="23"/>
        <v>386021.66</v>
      </c>
      <c r="E2000" s="331">
        <v>385821.66</v>
      </c>
      <c r="F2000" s="479">
        <v>200</v>
      </c>
    </row>
    <row r="2001" spans="3:6" x14ac:dyDescent="0.2">
      <c r="C2001" s="807">
        <v>45152</v>
      </c>
      <c r="D2001" s="331">
        <f t="shared" si="23"/>
        <v>406742.83</v>
      </c>
      <c r="E2001" s="331">
        <v>406542.83</v>
      </c>
      <c r="F2001" s="479">
        <v>200</v>
      </c>
    </row>
    <row r="2002" spans="3:6" x14ac:dyDescent="0.2">
      <c r="C2002" s="807">
        <v>45153</v>
      </c>
      <c r="D2002" s="331">
        <f t="shared" si="23"/>
        <v>370565.1</v>
      </c>
      <c r="E2002" s="331">
        <v>370365.1</v>
      </c>
      <c r="F2002" s="479">
        <v>200</v>
      </c>
    </row>
    <row r="2003" spans="3:6" x14ac:dyDescent="0.2">
      <c r="C2003" s="807">
        <v>45154</v>
      </c>
      <c r="D2003" s="331">
        <f t="shared" si="23"/>
        <v>370565.1</v>
      </c>
      <c r="E2003" s="331">
        <f>E2002</f>
        <v>370365.1</v>
      </c>
      <c r="F2003" s="479">
        <v>200</v>
      </c>
    </row>
    <row r="2004" spans="3:6" x14ac:dyDescent="0.2">
      <c r="C2004" s="807">
        <v>45155</v>
      </c>
      <c r="D2004" s="331">
        <f t="shared" si="23"/>
        <v>396789.54</v>
      </c>
      <c r="E2004" s="331">
        <v>396589.54</v>
      </c>
      <c r="F2004" s="479">
        <v>200</v>
      </c>
    </row>
    <row r="2005" spans="3:6" x14ac:dyDescent="0.2">
      <c r="C2005" s="807">
        <v>45156</v>
      </c>
      <c r="D2005" s="331">
        <f t="shared" si="23"/>
        <v>396404.94</v>
      </c>
      <c r="E2005" s="331">
        <v>396204.94</v>
      </c>
      <c r="F2005" s="479">
        <v>200</v>
      </c>
    </row>
    <row r="2006" spans="3:6" x14ac:dyDescent="0.2">
      <c r="C2006" s="807">
        <v>45159</v>
      </c>
      <c r="D2006" s="331">
        <f t="shared" si="23"/>
        <v>394335.05</v>
      </c>
      <c r="E2006" s="331">
        <v>394135.05</v>
      </c>
      <c r="F2006" s="479">
        <v>200</v>
      </c>
    </row>
    <row r="2007" spans="3:6" x14ac:dyDescent="0.2">
      <c r="C2007" s="807">
        <v>45160</v>
      </c>
      <c r="D2007" s="331">
        <f t="shared" si="23"/>
        <v>394335.05</v>
      </c>
      <c r="E2007" s="331">
        <f>E2006</f>
        <v>394135.05</v>
      </c>
      <c r="F2007" s="479">
        <v>200</v>
      </c>
    </row>
    <row r="2008" spans="3:6" x14ac:dyDescent="0.2">
      <c r="C2008" s="807">
        <v>45161</v>
      </c>
      <c r="D2008" s="331">
        <f t="shared" si="23"/>
        <v>394359.06</v>
      </c>
      <c r="E2008" s="331">
        <v>394159.06</v>
      </c>
      <c r="F2008" s="479">
        <v>200</v>
      </c>
    </row>
    <row r="2009" spans="3:6" x14ac:dyDescent="0.2">
      <c r="C2009" s="807">
        <v>45162</v>
      </c>
      <c r="D2009" s="331">
        <f t="shared" si="23"/>
        <v>388296.14</v>
      </c>
      <c r="E2009" s="331">
        <v>388096.14</v>
      </c>
      <c r="F2009" s="479">
        <v>200</v>
      </c>
    </row>
    <row r="2010" spans="3:6" x14ac:dyDescent="0.2">
      <c r="C2010" s="807">
        <v>45163</v>
      </c>
      <c r="D2010" s="331">
        <f t="shared" si="23"/>
        <v>388621.14</v>
      </c>
      <c r="E2010" s="331">
        <v>388421.14</v>
      </c>
      <c r="F2010" s="479">
        <v>200</v>
      </c>
    </row>
    <row r="2011" spans="3:6" x14ac:dyDescent="0.2">
      <c r="C2011" s="807">
        <v>45164</v>
      </c>
      <c r="D2011" s="331">
        <f t="shared" si="23"/>
        <v>388621.14</v>
      </c>
      <c r="E2011" s="331">
        <f>E2010</f>
        <v>388421.14</v>
      </c>
      <c r="F2011" s="479">
        <v>200</v>
      </c>
    </row>
    <row r="2012" spans="3:6" x14ac:dyDescent="0.2">
      <c r="C2012" s="807">
        <v>45165</v>
      </c>
      <c r="D2012" s="331">
        <f t="shared" si="23"/>
        <v>388621.14</v>
      </c>
      <c r="E2012" s="331">
        <f>E2011</f>
        <v>388421.14</v>
      </c>
      <c r="F2012" s="479">
        <v>200</v>
      </c>
    </row>
    <row r="2013" spans="3:6" x14ac:dyDescent="0.2">
      <c r="C2013" s="807">
        <v>45166</v>
      </c>
      <c r="D2013" s="331">
        <f t="shared" si="23"/>
        <v>350982.96</v>
      </c>
      <c r="E2013" s="331">
        <v>350782.96</v>
      </c>
      <c r="F2013" s="479">
        <v>200</v>
      </c>
    </row>
    <row r="2014" spans="3:6" x14ac:dyDescent="0.2">
      <c r="C2014" s="807">
        <v>45167</v>
      </c>
      <c r="D2014" s="331">
        <f t="shared" si="23"/>
        <v>451232.96</v>
      </c>
      <c r="E2014" s="331">
        <v>451032.96</v>
      </c>
      <c r="F2014" s="479">
        <v>200</v>
      </c>
    </row>
    <row r="2015" spans="3:6" x14ac:dyDescent="0.2">
      <c r="C2015" s="807">
        <v>45168</v>
      </c>
      <c r="D2015" s="331">
        <f t="shared" si="23"/>
        <v>499724.02</v>
      </c>
      <c r="E2015" s="331">
        <v>499524.02</v>
      </c>
      <c r="F2015" s="479">
        <v>200</v>
      </c>
    </row>
    <row r="2016" spans="3:6" x14ac:dyDescent="0.2">
      <c r="C2016" s="807">
        <v>45169</v>
      </c>
      <c r="D2016" s="331">
        <f t="shared" si="23"/>
        <v>519129.97</v>
      </c>
      <c r="E2016" s="331">
        <v>518929.97</v>
      </c>
      <c r="F2016" s="479">
        <v>200</v>
      </c>
    </row>
    <row r="2017" spans="3:6" x14ac:dyDescent="0.2">
      <c r="C2017" s="807">
        <v>45170</v>
      </c>
      <c r="D2017" s="331">
        <f t="shared" si="23"/>
        <v>494825.52</v>
      </c>
      <c r="E2017" s="331">
        <v>494625.52</v>
      </c>
      <c r="F2017" s="479">
        <v>200</v>
      </c>
    </row>
    <row r="2018" spans="3:6" x14ac:dyDescent="0.2">
      <c r="C2018" s="807">
        <v>45171</v>
      </c>
      <c r="D2018" s="331">
        <f t="shared" si="23"/>
        <v>494825.52</v>
      </c>
      <c r="E2018" s="331">
        <f>E2017</f>
        <v>494625.52</v>
      </c>
      <c r="F2018" s="479">
        <v>200</v>
      </c>
    </row>
    <row r="2019" spans="3:6" x14ac:dyDescent="0.2">
      <c r="C2019" s="807">
        <v>45172</v>
      </c>
      <c r="D2019" s="331">
        <f t="shared" si="23"/>
        <v>494825.52</v>
      </c>
      <c r="E2019" s="331">
        <f>E2018</f>
        <v>494625.52</v>
      </c>
      <c r="F2019" s="479">
        <v>200</v>
      </c>
    </row>
    <row r="2020" spans="3:6" x14ac:dyDescent="0.2">
      <c r="C2020" s="807">
        <v>45173</v>
      </c>
      <c r="D2020" s="331">
        <f t="shared" si="23"/>
        <v>494825.52</v>
      </c>
      <c r="E2020" s="331">
        <f>E2019</f>
        <v>494625.52</v>
      </c>
      <c r="F2020" s="479">
        <v>200</v>
      </c>
    </row>
    <row r="2021" spans="3:6" x14ac:dyDescent="0.2">
      <c r="C2021" s="807">
        <v>45174</v>
      </c>
      <c r="D2021" s="331">
        <f t="shared" si="23"/>
        <v>494875.52</v>
      </c>
      <c r="E2021" s="331">
        <v>494675.52</v>
      </c>
      <c r="F2021" s="479">
        <v>200</v>
      </c>
    </row>
    <row r="2022" spans="3:6" x14ac:dyDescent="0.2">
      <c r="C2022" s="807">
        <v>45175</v>
      </c>
      <c r="D2022" s="331">
        <f t="shared" si="23"/>
        <v>492868.56</v>
      </c>
      <c r="E2022" s="331">
        <v>492668.56</v>
      </c>
      <c r="F2022" s="479">
        <v>200</v>
      </c>
    </row>
    <row r="2023" spans="3:6" x14ac:dyDescent="0.2">
      <c r="C2023" s="807">
        <v>45176</v>
      </c>
      <c r="D2023" s="331">
        <f t="shared" si="23"/>
        <v>492868.56</v>
      </c>
      <c r="E2023" s="331">
        <f>E2022</f>
        <v>492668.56</v>
      </c>
      <c r="F2023" s="479">
        <v>200</v>
      </c>
    </row>
    <row r="2024" spans="3:6" x14ac:dyDescent="0.2">
      <c r="C2024" s="807">
        <v>45177</v>
      </c>
      <c r="D2024" s="331">
        <f t="shared" si="23"/>
        <v>492868.56</v>
      </c>
      <c r="E2024" s="331">
        <f>E2023</f>
        <v>492668.56</v>
      </c>
      <c r="F2024" s="479">
        <v>200</v>
      </c>
    </row>
    <row r="2025" spans="3:6" x14ac:dyDescent="0.2">
      <c r="C2025" s="807">
        <v>45180</v>
      </c>
      <c r="D2025" s="331">
        <f t="shared" si="23"/>
        <v>494218.56</v>
      </c>
      <c r="E2025" s="331">
        <v>494018.56</v>
      </c>
      <c r="F2025" s="479">
        <v>200</v>
      </c>
    </row>
    <row r="2026" spans="3:6" x14ac:dyDescent="0.2">
      <c r="C2026" s="807">
        <v>45181</v>
      </c>
      <c r="D2026" s="331">
        <f t="shared" si="23"/>
        <v>452326.96</v>
      </c>
      <c r="E2026" s="331">
        <v>452126.96</v>
      </c>
      <c r="F2026" s="479">
        <v>200</v>
      </c>
    </row>
    <row r="2027" spans="3:6" x14ac:dyDescent="0.2">
      <c r="C2027" s="807">
        <v>45182</v>
      </c>
      <c r="D2027" s="331">
        <f t="shared" si="23"/>
        <v>475248.53</v>
      </c>
      <c r="E2027" s="331">
        <v>475048.53</v>
      </c>
      <c r="F2027" s="479">
        <v>200</v>
      </c>
    </row>
    <row r="2028" spans="3:6" x14ac:dyDescent="0.2">
      <c r="C2028" s="807">
        <v>45183</v>
      </c>
      <c r="D2028" s="331">
        <f t="shared" si="23"/>
        <v>485579.7</v>
      </c>
      <c r="E2028" s="331">
        <v>485379.7</v>
      </c>
      <c r="F2028" s="479">
        <v>200</v>
      </c>
    </row>
    <row r="2029" spans="3:6" x14ac:dyDescent="0.2">
      <c r="C2029" s="807">
        <v>45184</v>
      </c>
      <c r="D2029" s="331">
        <f t="shared" si="23"/>
        <v>483237.86</v>
      </c>
      <c r="E2029" s="331">
        <v>483037.86</v>
      </c>
      <c r="F2029" s="479">
        <v>200</v>
      </c>
    </row>
    <row r="2030" spans="3:6" x14ac:dyDescent="0.2">
      <c r="C2030" s="807">
        <v>45187</v>
      </c>
      <c r="D2030" s="331">
        <f t="shared" si="23"/>
        <v>482174.8</v>
      </c>
      <c r="E2030" s="331">
        <v>481974.8</v>
      </c>
      <c r="F2030" s="479">
        <v>200</v>
      </c>
    </row>
    <row r="2031" spans="3:6" x14ac:dyDescent="0.2">
      <c r="C2031" s="807">
        <v>45188</v>
      </c>
      <c r="D2031" s="331">
        <f t="shared" si="23"/>
        <v>482199.8</v>
      </c>
      <c r="E2031" s="331">
        <v>481999.8</v>
      </c>
      <c r="F2031" s="479">
        <v>200</v>
      </c>
    </row>
    <row r="2032" spans="3:6" x14ac:dyDescent="0.2">
      <c r="C2032" s="807">
        <v>45189</v>
      </c>
      <c r="D2032" s="331">
        <f t="shared" si="23"/>
        <v>479406.91</v>
      </c>
      <c r="E2032" s="331">
        <v>479206.91</v>
      </c>
      <c r="F2032" s="479">
        <v>200</v>
      </c>
    </row>
    <row r="2033" spans="3:6" x14ac:dyDescent="0.2">
      <c r="C2033" s="807">
        <v>45190</v>
      </c>
      <c r="D2033" s="331">
        <f t="shared" si="23"/>
        <v>470500.67</v>
      </c>
      <c r="E2033" s="331">
        <v>470300.67</v>
      </c>
      <c r="F2033" s="479">
        <v>200</v>
      </c>
    </row>
    <row r="2034" spans="3:6" x14ac:dyDescent="0.2">
      <c r="C2034" s="807">
        <v>45191</v>
      </c>
      <c r="D2034" s="331">
        <f t="shared" si="23"/>
        <v>472716.17</v>
      </c>
      <c r="E2034" s="331">
        <v>472516.17</v>
      </c>
      <c r="F2034" s="479">
        <v>200</v>
      </c>
    </row>
    <row r="2035" spans="3:6" x14ac:dyDescent="0.2">
      <c r="C2035" s="807">
        <v>45194</v>
      </c>
      <c r="D2035" s="331">
        <f t="shared" si="23"/>
        <v>433269.34</v>
      </c>
      <c r="E2035" s="331">
        <v>433069.34</v>
      </c>
      <c r="F2035" s="479">
        <v>200</v>
      </c>
    </row>
    <row r="2036" spans="3:6" x14ac:dyDescent="0.2">
      <c r="C2036" s="807">
        <v>45195</v>
      </c>
      <c r="D2036" s="331">
        <f t="shared" si="23"/>
        <v>433243.64</v>
      </c>
      <c r="E2036" s="331">
        <v>433043.64</v>
      </c>
      <c r="F2036" s="479">
        <v>200</v>
      </c>
    </row>
    <row r="2037" spans="3:6" x14ac:dyDescent="0.2">
      <c r="C2037" s="807">
        <v>45196</v>
      </c>
      <c r="D2037" s="331">
        <f t="shared" si="23"/>
        <v>469337.63</v>
      </c>
      <c r="E2037" s="331">
        <v>469137.63</v>
      </c>
      <c r="F2037" s="479">
        <v>200</v>
      </c>
    </row>
    <row r="2038" spans="3:6" x14ac:dyDescent="0.2">
      <c r="C2038" s="807">
        <v>45197</v>
      </c>
      <c r="D2038" s="331">
        <f t="shared" si="23"/>
        <v>469337.63</v>
      </c>
      <c r="E2038" s="331">
        <f t="shared" ref="E2038:E2057" si="24">E2037</f>
        <v>469137.63</v>
      </c>
      <c r="F2038" s="479">
        <v>200</v>
      </c>
    </row>
    <row r="2039" spans="3:6" x14ac:dyDescent="0.2">
      <c r="C2039" s="807">
        <v>45198</v>
      </c>
      <c r="D2039" s="331">
        <f t="shared" si="23"/>
        <v>468953.03</v>
      </c>
      <c r="E2039" s="331">
        <v>468753.03</v>
      </c>
      <c r="F2039" s="479">
        <v>200</v>
      </c>
    </row>
    <row r="2040" spans="3:6" x14ac:dyDescent="0.2">
      <c r="C2040" s="807">
        <v>45201</v>
      </c>
      <c r="D2040" s="331">
        <f t="shared" si="23"/>
        <v>459905.29</v>
      </c>
      <c r="E2040" s="331">
        <v>459705.29</v>
      </c>
      <c r="F2040" s="479">
        <v>200</v>
      </c>
    </row>
    <row r="2041" spans="3:6" x14ac:dyDescent="0.2">
      <c r="C2041" s="807">
        <v>45202</v>
      </c>
      <c r="D2041" s="331">
        <f t="shared" si="23"/>
        <v>459905.29</v>
      </c>
      <c r="E2041" s="331">
        <f t="shared" si="24"/>
        <v>459705.29</v>
      </c>
      <c r="F2041" s="479">
        <v>200</v>
      </c>
    </row>
    <row r="2042" spans="3:6" x14ac:dyDescent="0.2">
      <c r="C2042" s="807">
        <v>45203</v>
      </c>
      <c r="D2042" s="331">
        <f t="shared" si="23"/>
        <v>459905.29</v>
      </c>
      <c r="E2042" s="331">
        <f t="shared" si="24"/>
        <v>459705.29</v>
      </c>
      <c r="F2042" s="479">
        <v>200</v>
      </c>
    </row>
    <row r="2043" spans="3:6" x14ac:dyDescent="0.2">
      <c r="C2043" s="807">
        <v>45204</v>
      </c>
      <c r="D2043" s="331">
        <f t="shared" si="23"/>
        <v>459905.29</v>
      </c>
      <c r="E2043" s="331">
        <f t="shared" si="24"/>
        <v>459705.29</v>
      </c>
      <c r="F2043" s="479">
        <v>200</v>
      </c>
    </row>
    <row r="2044" spans="3:6" x14ac:dyDescent="0.2">
      <c r="C2044" s="807">
        <v>45205</v>
      </c>
      <c r="D2044" s="331">
        <f t="shared" si="23"/>
        <v>459905.29</v>
      </c>
      <c r="E2044" s="331">
        <f t="shared" si="24"/>
        <v>459705.29</v>
      </c>
      <c r="F2044" s="479">
        <v>200</v>
      </c>
    </row>
    <row r="2045" spans="3:6" x14ac:dyDescent="0.2">
      <c r="C2045" s="807">
        <v>45208</v>
      </c>
      <c r="D2045" s="331">
        <f t="shared" si="23"/>
        <v>459905.29</v>
      </c>
      <c r="E2045" s="331">
        <f t="shared" si="24"/>
        <v>459705.29</v>
      </c>
      <c r="F2045" s="479">
        <v>200</v>
      </c>
    </row>
    <row r="2046" spans="3:6" x14ac:dyDescent="0.2">
      <c r="C2046" s="807">
        <v>45209</v>
      </c>
      <c r="D2046" s="331">
        <f t="shared" si="23"/>
        <v>423446.93</v>
      </c>
      <c r="E2046" s="331">
        <v>423246.93</v>
      </c>
      <c r="F2046" s="479">
        <v>200</v>
      </c>
    </row>
    <row r="2047" spans="3:6" x14ac:dyDescent="0.2">
      <c r="C2047" s="807">
        <v>45210</v>
      </c>
      <c r="D2047" s="331">
        <f t="shared" si="23"/>
        <v>423446.93</v>
      </c>
      <c r="E2047" s="331">
        <f t="shared" si="24"/>
        <v>423246.93</v>
      </c>
      <c r="F2047" s="479">
        <v>200</v>
      </c>
    </row>
    <row r="2048" spans="3:6" x14ac:dyDescent="0.2">
      <c r="C2048" s="807">
        <v>45211</v>
      </c>
      <c r="D2048" s="331">
        <f t="shared" si="23"/>
        <v>407711.69</v>
      </c>
      <c r="E2048" s="331">
        <v>407511.69</v>
      </c>
      <c r="F2048" s="479">
        <v>200</v>
      </c>
    </row>
    <row r="2049" spans="3:6" x14ac:dyDescent="0.2">
      <c r="C2049" s="807">
        <v>45212</v>
      </c>
      <c r="D2049" s="331">
        <f t="shared" si="23"/>
        <v>407733.05</v>
      </c>
      <c r="E2049" s="331">
        <v>407533.05</v>
      </c>
      <c r="F2049" s="479">
        <v>200</v>
      </c>
    </row>
    <row r="2050" spans="3:6" x14ac:dyDescent="0.2">
      <c r="C2050" s="807">
        <v>45215</v>
      </c>
      <c r="D2050" s="331">
        <f t="shared" si="23"/>
        <v>409787.27</v>
      </c>
      <c r="E2050" s="331">
        <v>409587.27</v>
      </c>
      <c r="F2050" s="479">
        <v>200</v>
      </c>
    </row>
    <row r="2051" spans="3:6" x14ac:dyDescent="0.2">
      <c r="C2051" s="807">
        <v>45216</v>
      </c>
      <c r="D2051" s="331">
        <f t="shared" si="23"/>
        <v>409787.27</v>
      </c>
      <c r="E2051" s="331">
        <f t="shared" si="24"/>
        <v>409587.27</v>
      </c>
      <c r="F2051" s="479">
        <v>200</v>
      </c>
    </row>
    <row r="2052" spans="3:6" x14ac:dyDescent="0.2">
      <c r="C2052" s="807">
        <v>45217</v>
      </c>
      <c r="D2052" s="331">
        <f t="shared" si="23"/>
        <v>410017.27</v>
      </c>
      <c r="E2052" s="331">
        <v>409817.27</v>
      </c>
      <c r="F2052" s="479">
        <v>200</v>
      </c>
    </row>
    <row r="2053" spans="3:6" x14ac:dyDescent="0.2">
      <c r="C2053" s="807">
        <v>45218</v>
      </c>
      <c r="D2053" s="331">
        <f t="shared" si="23"/>
        <v>418625.7</v>
      </c>
      <c r="E2053" s="331">
        <v>418425.7</v>
      </c>
      <c r="F2053" s="479">
        <v>200</v>
      </c>
    </row>
    <row r="2054" spans="3:6" x14ac:dyDescent="0.2">
      <c r="C2054" s="807">
        <v>45219</v>
      </c>
      <c r="D2054" s="331">
        <f t="shared" si="23"/>
        <v>418550.7</v>
      </c>
      <c r="E2054" s="331">
        <v>418350.7</v>
      </c>
      <c r="F2054" s="479">
        <v>200</v>
      </c>
    </row>
    <row r="2055" spans="3:6" x14ac:dyDescent="0.2">
      <c r="C2055" s="807">
        <v>45222</v>
      </c>
      <c r="D2055" s="331">
        <f t="shared" si="23"/>
        <v>381523.11</v>
      </c>
      <c r="E2055" s="331">
        <v>381323.11</v>
      </c>
      <c r="F2055" s="479">
        <v>200</v>
      </c>
    </row>
    <row r="2056" spans="3:6" x14ac:dyDescent="0.2">
      <c r="C2056" s="807">
        <v>45223</v>
      </c>
      <c r="D2056" s="331">
        <f t="shared" si="23"/>
        <v>381523.11</v>
      </c>
      <c r="E2056" s="331">
        <f t="shared" si="24"/>
        <v>381323.11</v>
      </c>
      <c r="F2056" s="479">
        <v>200</v>
      </c>
    </row>
    <row r="2057" spans="3:6" x14ac:dyDescent="0.2">
      <c r="C2057" s="807">
        <v>45224</v>
      </c>
      <c r="D2057" s="331">
        <f t="shared" si="23"/>
        <v>381523.11</v>
      </c>
      <c r="E2057" s="331">
        <f t="shared" si="24"/>
        <v>381323.11</v>
      </c>
      <c r="F2057" s="479">
        <v>200</v>
      </c>
    </row>
    <row r="2058" spans="3:6" x14ac:dyDescent="0.2">
      <c r="C2058" s="807">
        <v>45225</v>
      </c>
      <c r="D2058" s="331">
        <f t="shared" ref="D2058:D2121" si="25">E2058+F2058</f>
        <v>381497.41</v>
      </c>
      <c r="E2058" s="331">
        <v>381297.41</v>
      </c>
      <c r="F2058" s="479">
        <v>200</v>
      </c>
    </row>
    <row r="2059" spans="3:6" x14ac:dyDescent="0.2">
      <c r="C2059" s="807">
        <v>45226</v>
      </c>
      <c r="D2059" s="331">
        <f t="shared" si="25"/>
        <v>381524.92</v>
      </c>
      <c r="E2059" s="331">
        <v>381324.92</v>
      </c>
      <c r="F2059" s="479">
        <v>200</v>
      </c>
    </row>
    <row r="2060" spans="3:6" x14ac:dyDescent="0.2">
      <c r="C2060" s="807">
        <v>45229</v>
      </c>
      <c r="D2060" s="331">
        <f t="shared" si="25"/>
        <v>381524.92</v>
      </c>
      <c r="E2060" s="331">
        <f>E2059</f>
        <v>381324.92</v>
      </c>
      <c r="F2060" s="479">
        <v>200</v>
      </c>
    </row>
    <row r="2061" spans="3:6" x14ac:dyDescent="0.2">
      <c r="C2061" s="807">
        <v>45230</v>
      </c>
      <c r="D2061" s="331">
        <f t="shared" si="25"/>
        <v>403601.43</v>
      </c>
      <c r="E2061" s="331">
        <v>403401.43</v>
      </c>
      <c r="F2061" s="479">
        <v>200</v>
      </c>
    </row>
    <row r="2062" spans="3:6" x14ac:dyDescent="0.2">
      <c r="C2062" s="807">
        <v>45231</v>
      </c>
      <c r="D2062" s="331">
        <f t="shared" si="25"/>
        <v>403601.43</v>
      </c>
      <c r="E2062" s="331">
        <f>E2061</f>
        <v>403401.43</v>
      </c>
      <c r="F2062" s="479">
        <v>200</v>
      </c>
    </row>
    <row r="2063" spans="3:6" x14ac:dyDescent="0.2">
      <c r="C2063" s="807">
        <v>45232</v>
      </c>
      <c r="D2063" s="331">
        <f t="shared" si="25"/>
        <v>388696.73</v>
      </c>
      <c r="E2063" s="331">
        <v>388496.73</v>
      </c>
      <c r="F2063" s="479">
        <v>200</v>
      </c>
    </row>
    <row r="2064" spans="3:6" x14ac:dyDescent="0.2">
      <c r="C2064" s="807">
        <v>45233</v>
      </c>
      <c r="D2064" s="331">
        <f t="shared" si="25"/>
        <v>388696.73</v>
      </c>
      <c r="E2064" s="331">
        <f>E2063</f>
        <v>388496.73</v>
      </c>
      <c r="F2064" s="479">
        <v>200</v>
      </c>
    </row>
    <row r="2065" spans="3:6" x14ac:dyDescent="0.2">
      <c r="C2065" s="807">
        <v>45236</v>
      </c>
      <c r="D2065" s="331">
        <f t="shared" si="25"/>
        <v>354074.98</v>
      </c>
      <c r="E2065" s="331">
        <v>353874.98</v>
      </c>
      <c r="F2065" s="479">
        <v>200</v>
      </c>
    </row>
    <row r="2066" spans="3:6" x14ac:dyDescent="0.2">
      <c r="C2066" s="807">
        <v>45237</v>
      </c>
      <c r="D2066" s="331">
        <f t="shared" si="25"/>
        <v>354074.98</v>
      </c>
      <c r="E2066" s="331">
        <f>E2065</f>
        <v>353874.98</v>
      </c>
      <c r="F2066" s="479">
        <v>200</v>
      </c>
    </row>
    <row r="2067" spans="3:6" x14ac:dyDescent="0.2">
      <c r="C2067" s="807">
        <v>45238</v>
      </c>
      <c r="D2067" s="331">
        <f t="shared" si="25"/>
        <v>412115.27</v>
      </c>
      <c r="E2067" s="331">
        <v>411915.27</v>
      </c>
      <c r="F2067" s="479">
        <v>200</v>
      </c>
    </row>
    <row r="2068" spans="3:6" x14ac:dyDescent="0.2">
      <c r="C2068" s="807">
        <v>45239</v>
      </c>
      <c r="D2068" s="331">
        <f t="shared" si="25"/>
        <v>421170.44</v>
      </c>
      <c r="E2068" s="331">
        <v>420970.44</v>
      </c>
      <c r="F2068" s="479">
        <v>200</v>
      </c>
    </row>
    <row r="2069" spans="3:6" x14ac:dyDescent="0.2">
      <c r="C2069" s="807">
        <v>45240</v>
      </c>
      <c r="D2069" s="331">
        <f t="shared" si="25"/>
        <v>443466.68</v>
      </c>
      <c r="E2069" s="331">
        <v>443266.68</v>
      </c>
      <c r="F2069" s="479">
        <v>200</v>
      </c>
    </row>
    <row r="2070" spans="3:6" x14ac:dyDescent="0.2">
      <c r="C2070" s="807">
        <v>45243</v>
      </c>
      <c r="D2070" s="331">
        <f t="shared" si="25"/>
        <v>443466.68</v>
      </c>
      <c r="E2070" s="331">
        <f>E2069</f>
        <v>443266.68</v>
      </c>
      <c r="F2070" s="479">
        <v>200</v>
      </c>
    </row>
    <row r="2071" spans="3:6" x14ac:dyDescent="0.2">
      <c r="C2071" s="807">
        <v>45244</v>
      </c>
      <c r="D2071" s="331">
        <f t="shared" si="25"/>
        <v>443467.28</v>
      </c>
      <c r="E2071" s="331">
        <v>443267.28</v>
      </c>
      <c r="F2071" s="479">
        <v>200</v>
      </c>
    </row>
    <row r="2072" spans="3:6" x14ac:dyDescent="0.2">
      <c r="C2072" s="807">
        <v>45245</v>
      </c>
      <c r="D2072" s="331">
        <f t="shared" si="25"/>
        <v>467133.83</v>
      </c>
      <c r="E2072" s="331">
        <v>466933.83</v>
      </c>
      <c r="F2072" s="479">
        <v>200</v>
      </c>
    </row>
    <row r="2073" spans="3:6" x14ac:dyDescent="0.2">
      <c r="C2073" s="807">
        <v>45246</v>
      </c>
      <c r="D2073" s="331">
        <f t="shared" si="25"/>
        <v>457231.63</v>
      </c>
      <c r="E2073" s="331">
        <v>457031.63</v>
      </c>
      <c r="F2073" s="479">
        <v>200</v>
      </c>
    </row>
    <row r="2074" spans="3:6" x14ac:dyDescent="0.2">
      <c r="C2074" s="807">
        <v>45247</v>
      </c>
      <c r="D2074" s="331">
        <f t="shared" si="25"/>
        <v>457180.17</v>
      </c>
      <c r="E2074" s="331">
        <v>456980.17</v>
      </c>
      <c r="F2074" s="479">
        <v>200</v>
      </c>
    </row>
    <row r="2075" spans="3:6" x14ac:dyDescent="0.2">
      <c r="C2075" s="807">
        <v>45250</v>
      </c>
      <c r="D2075" s="331">
        <f t="shared" si="25"/>
        <v>413685.69</v>
      </c>
      <c r="E2075" s="331">
        <v>413485.69</v>
      </c>
      <c r="F2075" s="479">
        <v>200</v>
      </c>
    </row>
    <row r="2076" spans="3:6" x14ac:dyDescent="0.2">
      <c r="C2076" s="807">
        <v>45251</v>
      </c>
      <c r="D2076" s="331">
        <f t="shared" si="25"/>
        <v>413685.69</v>
      </c>
      <c r="E2076" s="331">
        <f>E2075</f>
        <v>413485.69</v>
      </c>
      <c r="F2076" s="479">
        <v>200</v>
      </c>
    </row>
    <row r="2077" spans="3:6" x14ac:dyDescent="0.2">
      <c r="C2077" s="807">
        <v>45252</v>
      </c>
      <c r="D2077" s="331">
        <f t="shared" si="25"/>
        <v>414169.69</v>
      </c>
      <c r="E2077" s="331">
        <v>413969.69</v>
      </c>
      <c r="F2077" s="479">
        <v>200</v>
      </c>
    </row>
    <row r="2078" spans="3:6" x14ac:dyDescent="0.2">
      <c r="C2078" s="807">
        <v>45253</v>
      </c>
      <c r="D2078" s="331">
        <f t="shared" si="25"/>
        <v>414169.69</v>
      </c>
      <c r="E2078" s="331">
        <f>E2077</f>
        <v>413969.69</v>
      </c>
      <c r="F2078" s="479">
        <v>200</v>
      </c>
    </row>
    <row r="2079" spans="3:6" x14ac:dyDescent="0.2">
      <c r="C2079" s="807">
        <v>45254</v>
      </c>
      <c r="D2079" s="331">
        <f t="shared" si="25"/>
        <v>413785.09</v>
      </c>
      <c r="E2079" s="331">
        <v>413585.09</v>
      </c>
      <c r="F2079" s="479">
        <v>200</v>
      </c>
    </row>
    <row r="2080" spans="3:6" x14ac:dyDescent="0.2">
      <c r="C2080" s="807">
        <v>45257</v>
      </c>
      <c r="D2080" s="331">
        <f t="shared" si="25"/>
        <v>413785.09</v>
      </c>
      <c r="E2080" s="331">
        <f>E2079</f>
        <v>413585.09</v>
      </c>
      <c r="F2080" s="479">
        <v>200</v>
      </c>
    </row>
    <row r="2081" spans="3:6" x14ac:dyDescent="0.2">
      <c r="C2081" s="807">
        <v>45258</v>
      </c>
      <c r="D2081" s="331">
        <f t="shared" si="25"/>
        <v>413647.44</v>
      </c>
      <c r="E2081" s="331">
        <v>413447.44</v>
      </c>
      <c r="F2081" s="479">
        <v>200</v>
      </c>
    </row>
    <row r="2082" spans="3:6" x14ac:dyDescent="0.2">
      <c r="C2082" s="807">
        <v>45259</v>
      </c>
      <c r="D2082" s="331">
        <f t="shared" si="25"/>
        <v>413647.44</v>
      </c>
      <c r="E2082" s="331">
        <f>E2081</f>
        <v>413447.44</v>
      </c>
      <c r="F2082" s="479">
        <v>200</v>
      </c>
    </row>
    <row r="2083" spans="3:6" x14ac:dyDescent="0.2">
      <c r="C2083" s="807">
        <v>45260</v>
      </c>
      <c r="D2083" s="331">
        <f t="shared" si="25"/>
        <v>456909.26</v>
      </c>
      <c r="E2083" s="331">
        <v>456709.26</v>
      </c>
      <c r="F2083" s="479">
        <v>200</v>
      </c>
    </row>
    <row r="2084" spans="3:6" x14ac:dyDescent="0.2">
      <c r="C2084" s="807">
        <v>45261</v>
      </c>
      <c r="D2084" s="331">
        <f t="shared" si="25"/>
        <v>456909.26</v>
      </c>
      <c r="E2084" s="331">
        <f>E2083</f>
        <v>456709.26</v>
      </c>
      <c r="F2084" s="479">
        <v>200</v>
      </c>
    </row>
    <row r="2085" spans="3:6" x14ac:dyDescent="0.2">
      <c r="C2085" s="807">
        <v>45264</v>
      </c>
      <c r="D2085" s="331">
        <f t="shared" si="25"/>
        <v>420452.25</v>
      </c>
      <c r="E2085" s="331">
        <v>420252.25</v>
      </c>
      <c r="F2085" s="479">
        <v>200</v>
      </c>
    </row>
    <row r="2086" spans="3:6" x14ac:dyDescent="0.2">
      <c r="C2086" s="807">
        <v>45265</v>
      </c>
      <c r="D2086" s="331">
        <f t="shared" si="25"/>
        <v>420452.25</v>
      </c>
      <c r="E2086" s="331">
        <f>E2085</f>
        <v>420252.25</v>
      </c>
      <c r="F2086" s="479">
        <v>200</v>
      </c>
    </row>
    <row r="2087" spans="3:6" x14ac:dyDescent="0.2">
      <c r="C2087" s="807">
        <v>45266</v>
      </c>
      <c r="D2087" s="331">
        <f t="shared" si="25"/>
        <v>545432.25</v>
      </c>
      <c r="E2087" s="331">
        <v>545232.25</v>
      </c>
      <c r="F2087" s="479">
        <v>200</v>
      </c>
    </row>
    <row r="2088" spans="3:6" x14ac:dyDescent="0.2">
      <c r="C2088" s="807">
        <v>45267</v>
      </c>
      <c r="D2088" s="331">
        <f t="shared" si="25"/>
        <v>545590.84</v>
      </c>
      <c r="E2088" s="331">
        <v>545390.84</v>
      </c>
      <c r="F2088" s="479">
        <v>200</v>
      </c>
    </row>
    <row r="2089" spans="3:6" x14ac:dyDescent="0.2">
      <c r="C2089" s="807">
        <v>45268</v>
      </c>
      <c r="D2089" s="331">
        <f t="shared" si="25"/>
        <v>525679.43000000005</v>
      </c>
      <c r="E2089" s="331">
        <v>525479.43000000005</v>
      </c>
      <c r="F2089" s="479">
        <v>200</v>
      </c>
    </row>
    <row r="2090" spans="3:6" x14ac:dyDescent="0.2">
      <c r="C2090" s="807">
        <v>45271</v>
      </c>
      <c r="D2090" s="331">
        <f t="shared" si="25"/>
        <v>545765.34</v>
      </c>
      <c r="E2090" s="331">
        <v>545565.34</v>
      </c>
      <c r="F2090" s="479">
        <v>200</v>
      </c>
    </row>
    <row r="2091" spans="3:6" x14ac:dyDescent="0.2">
      <c r="C2091" s="807">
        <v>45272</v>
      </c>
      <c r="D2091" s="331">
        <f t="shared" si="25"/>
        <v>546390.34</v>
      </c>
      <c r="E2091" s="331">
        <v>546190.34</v>
      </c>
      <c r="F2091" s="479">
        <v>200</v>
      </c>
    </row>
    <row r="2092" spans="3:6" x14ac:dyDescent="0.2">
      <c r="C2092" s="807">
        <v>45273</v>
      </c>
      <c r="D2092" s="331">
        <f t="shared" si="25"/>
        <v>546489.65</v>
      </c>
      <c r="E2092" s="331">
        <v>546289.65</v>
      </c>
      <c r="F2092" s="479">
        <v>200</v>
      </c>
    </row>
    <row r="2093" spans="3:6" x14ac:dyDescent="0.2">
      <c r="C2093" s="807">
        <v>45274</v>
      </c>
      <c r="D2093" s="331">
        <f t="shared" si="25"/>
        <v>540866.25</v>
      </c>
      <c r="E2093" s="331">
        <v>540666.25</v>
      </c>
      <c r="F2093" s="479">
        <v>200</v>
      </c>
    </row>
    <row r="2094" spans="3:6" x14ac:dyDescent="0.2">
      <c r="C2094" s="807">
        <v>45275</v>
      </c>
      <c r="D2094" s="331">
        <f t="shared" si="25"/>
        <v>540913.56000000006</v>
      </c>
      <c r="E2094" s="331">
        <v>540713.56000000006</v>
      </c>
      <c r="F2094" s="479">
        <v>200</v>
      </c>
    </row>
    <row r="2095" spans="3:6" x14ac:dyDescent="0.2">
      <c r="C2095" s="807">
        <v>45278</v>
      </c>
      <c r="D2095" s="331">
        <f t="shared" si="25"/>
        <v>533274.25</v>
      </c>
      <c r="E2095" s="331">
        <v>533074.25</v>
      </c>
      <c r="F2095" s="479">
        <v>200</v>
      </c>
    </row>
    <row r="2096" spans="3:6" x14ac:dyDescent="0.2">
      <c r="C2096" s="807">
        <v>45279</v>
      </c>
      <c r="D2096" s="331">
        <f t="shared" si="25"/>
        <v>618886.13</v>
      </c>
      <c r="E2096" s="331">
        <v>618686.13</v>
      </c>
      <c r="F2096" s="479">
        <v>200</v>
      </c>
    </row>
    <row r="2097" spans="3:6" x14ac:dyDescent="0.2">
      <c r="C2097" s="807">
        <v>45280</v>
      </c>
      <c r="D2097" s="331">
        <f t="shared" si="25"/>
        <v>614102.62</v>
      </c>
      <c r="E2097" s="331">
        <v>613902.62</v>
      </c>
      <c r="F2097" s="479">
        <v>200</v>
      </c>
    </row>
    <row r="2098" spans="3:6" x14ac:dyDescent="0.2">
      <c r="C2098" s="807">
        <v>45281</v>
      </c>
      <c r="D2098" s="331">
        <f t="shared" si="25"/>
        <v>624405.25</v>
      </c>
      <c r="E2098" s="331">
        <v>624205.25</v>
      </c>
      <c r="F2098" s="479">
        <v>200</v>
      </c>
    </row>
    <row r="2099" spans="3:6" x14ac:dyDescent="0.2">
      <c r="C2099" s="807">
        <v>45282</v>
      </c>
      <c r="D2099" s="331">
        <f t="shared" si="25"/>
        <v>626377.68000000005</v>
      </c>
      <c r="E2099" s="331">
        <v>626177.68000000005</v>
      </c>
      <c r="F2099" s="479">
        <v>200</v>
      </c>
    </row>
    <row r="2100" spans="3:6" x14ac:dyDescent="0.2">
      <c r="C2100" s="807">
        <v>45285</v>
      </c>
      <c r="D2100" s="331">
        <f t="shared" si="25"/>
        <v>626377.68000000005</v>
      </c>
      <c r="E2100" s="331">
        <f>E2099</f>
        <v>626177.68000000005</v>
      </c>
      <c r="F2100" s="479">
        <v>200</v>
      </c>
    </row>
    <row r="2101" spans="3:6" x14ac:dyDescent="0.2">
      <c r="C2101" s="807">
        <v>45286</v>
      </c>
      <c r="D2101" s="331">
        <f t="shared" si="25"/>
        <v>643671.14</v>
      </c>
      <c r="E2101" s="331">
        <v>643471.14</v>
      </c>
      <c r="F2101" s="479">
        <v>200</v>
      </c>
    </row>
    <row r="2102" spans="3:6" x14ac:dyDescent="0.2">
      <c r="C2102" s="807">
        <v>45287</v>
      </c>
      <c r="D2102" s="331">
        <f t="shared" si="25"/>
        <v>644766.57999999996</v>
      </c>
      <c r="E2102" s="331">
        <v>644566.57999999996</v>
      </c>
      <c r="F2102" s="479">
        <v>200</v>
      </c>
    </row>
    <row r="2103" spans="3:6" x14ac:dyDescent="0.2">
      <c r="C2103" s="807">
        <v>45288</v>
      </c>
      <c r="D2103" s="331">
        <f t="shared" si="25"/>
        <v>638881.80000000005</v>
      </c>
      <c r="E2103" s="331">
        <v>638681.80000000005</v>
      </c>
      <c r="F2103" s="479">
        <v>200</v>
      </c>
    </row>
    <row r="2104" spans="3:6" x14ac:dyDescent="0.2">
      <c r="C2104" s="807">
        <v>45289</v>
      </c>
      <c r="D2104" s="364">
        <f t="shared" si="25"/>
        <v>661874.81999999995</v>
      </c>
      <c r="E2104" s="331">
        <v>661674.81999999995</v>
      </c>
      <c r="F2104" s="479">
        <v>200</v>
      </c>
    </row>
    <row r="2105" spans="3:6" x14ac:dyDescent="0.2">
      <c r="C2105" s="807">
        <v>45290</v>
      </c>
      <c r="D2105" s="331">
        <f t="shared" si="25"/>
        <v>661874.81999999995</v>
      </c>
      <c r="E2105" s="331">
        <f>E2104</f>
        <v>661674.81999999995</v>
      </c>
      <c r="F2105" s="479">
        <v>200</v>
      </c>
    </row>
    <row r="2106" spans="3:6" x14ac:dyDescent="0.2">
      <c r="C2106" s="807">
        <v>45291</v>
      </c>
      <c r="D2106" s="331">
        <f t="shared" si="25"/>
        <v>661874.81999999995</v>
      </c>
      <c r="E2106" s="331">
        <f>E2105</f>
        <v>661674.81999999995</v>
      </c>
      <c r="F2106" s="479">
        <v>200</v>
      </c>
    </row>
    <row r="2107" spans="3:6" x14ac:dyDescent="0.2">
      <c r="C2107" s="807">
        <v>45292</v>
      </c>
      <c r="D2107" s="331">
        <f t="shared" si="25"/>
        <v>661874.81999999995</v>
      </c>
      <c r="E2107" s="331">
        <f>E2106</f>
        <v>661674.81999999995</v>
      </c>
      <c r="F2107" s="479">
        <v>200</v>
      </c>
    </row>
    <row r="2108" spans="3:6" x14ac:dyDescent="0.2">
      <c r="C2108" s="807">
        <v>45293</v>
      </c>
      <c r="D2108" s="331">
        <f t="shared" si="25"/>
        <v>612116.59</v>
      </c>
      <c r="E2108" s="331">
        <v>611916.59</v>
      </c>
      <c r="F2108" s="479">
        <v>200</v>
      </c>
    </row>
    <row r="2109" spans="3:6" x14ac:dyDescent="0.2">
      <c r="C2109" s="807">
        <v>45294</v>
      </c>
      <c r="D2109" s="331">
        <f t="shared" si="25"/>
        <v>611802.93999999994</v>
      </c>
      <c r="E2109" s="331">
        <v>611602.93999999994</v>
      </c>
      <c r="F2109" s="479">
        <v>200</v>
      </c>
    </row>
    <row r="2110" spans="3:6" x14ac:dyDescent="0.2">
      <c r="C2110" s="807">
        <v>45295</v>
      </c>
      <c r="D2110" s="331">
        <f t="shared" si="25"/>
        <v>611802.93999999994</v>
      </c>
      <c r="E2110" s="331">
        <f>E2109</f>
        <v>611602.93999999994</v>
      </c>
      <c r="F2110" s="479">
        <v>200</v>
      </c>
    </row>
    <row r="2111" spans="3:6" x14ac:dyDescent="0.2">
      <c r="C2111" s="807">
        <v>45296</v>
      </c>
      <c r="D2111" s="331">
        <f t="shared" si="25"/>
        <v>611802.93999999994</v>
      </c>
      <c r="E2111" s="331">
        <f>E2110</f>
        <v>611602.93999999994</v>
      </c>
      <c r="F2111" s="479">
        <v>200</v>
      </c>
    </row>
    <row r="2112" spans="3:6" x14ac:dyDescent="0.2">
      <c r="C2112" s="807">
        <v>45299</v>
      </c>
      <c r="D2112" s="331">
        <f t="shared" si="25"/>
        <v>597286.13</v>
      </c>
      <c r="E2112" s="331">
        <v>597086.13</v>
      </c>
      <c r="F2112" s="479">
        <v>200</v>
      </c>
    </row>
    <row r="2113" spans="3:6" x14ac:dyDescent="0.2">
      <c r="C2113" s="807">
        <v>45300</v>
      </c>
      <c r="D2113" s="331">
        <f t="shared" si="25"/>
        <v>597286.13</v>
      </c>
      <c r="E2113" s="331">
        <f>E2112</f>
        <v>597086.13</v>
      </c>
      <c r="F2113" s="479">
        <v>200</v>
      </c>
    </row>
    <row r="2114" spans="3:6" x14ac:dyDescent="0.2">
      <c r="C2114" s="807">
        <v>45301</v>
      </c>
      <c r="D2114" s="331">
        <f t="shared" si="25"/>
        <v>597286.13</v>
      </c>
      <c r="E2114" s="331">
        <f>E2113</f>
        <v>597086.13</v>
      </c>
      <c r="F2114" s="479">
        <v>200</v>
      </c>
    </row>
    <row r="2115" spans="3:6" x14ac:dyDescent="0.2">
      <c r="C2115" s="807">
        <v>45302</v>
      </c>
      <c r="D2115" s="331">
        <f t="shared" si="25"/>
        <v>608030.19999999995</v>
      </c>
      <c r="E2115" s="331">
        <v>607830.19999999995</v>
      </c>
      <c r="F2115" s="479">
        <v>200</v>
      </c>
    </row>
    <row r="2116" spans="3:6" x14ac:dyDescent="0.2">
      <c r="C2116" s="807">
        <v>45303</v>
      </c>
      <c r="D2116" s="331">
        <f t="shared" si="25"/>
        <v>608078.04</v>
      </c>
      <c r="E2116" s="331">
        <v>607878.04</v>
      </c>
      <c r="F2116" s="479">
        <v>200</v>
      </c>
    </row>
    <row r="2117" spans="3:6" x14ac:dyDescent="0.2">
      <c r="C2117" s="807">
        <v>45306</v>
      </c>
      <c r="D2117" s="331">
        <f t="shared" si="25"/>
        <v>608078.04</v>
      </c>
      <c r="E2117" s="331">
        <f>E2116</f>
        <v>607878.04</v>
      </c>
      <c r="F2117" s="479">
        <v>200</v>
      </c>
    </row>
    <row r="2118" spans="3:6" x14ac:dyDescent="0.2">
      <c r="C2118" s="807">
        <v>45307</v>
      </c>
      <c r="D2118" s="331">
        <f t="shared" si="25"/>
        <v>586838.57999999996</v>
      </c>
      <c r="E2118" s="331">
        <v>586638.57999999996</v>
      </c>
      <c r="F2118" s="479">
        <v>200</v>
      </c>
    </row>
    <row r="2119" spans="3:6" x14ac:dyDescent="0.2">
      <c r="C2119" s="807">
        <v>45308</v>
      </c>
      <c r="D2119" s="331">
        <f t="shared" si="25"/>
        <v>582760.27</v>
      </c>
      <c r="E2119" s="331">
        <v>582560.27</v>
      </c>
      <c r="F2119" s="479">
        <v>200</v>
      </c>
    </row>
    <row r="2120" spans="3:6" x14ac:dyDescent="0.2">
      <c r="C2120" s="807">
        <v>45309</v>
      </c>
      <c r="D2120" s="331">
        <f t="shared" si="25"/>
        <v>591268.14</v>
      </c>
      <c r="E2120" s="331">
        <v>591068.14</v>
      </c>
      <c r="F2120" s="479">
        <v>200</v>
      </c>
    </row>
    <row r="2121" spans="3:6" x14ac:dyDescent="0.2">
      <c r="C2121" s="807">
        <v>45310</v>
      </c>
      <c r="D2121" s="331">
        <f t="shared" si="25"/>
        <v>606839.55000000005</v>
      </c>
      <c r="E2121" s="331">
        <v>606639.55000000005</v>
      </c>
      <c r="F2121" s="479">
        <v>200</v>
      </c>
    </row>
    <row r="2122" spans="3:6" x14ac:dyDescent="0.2">
      <c r="C2122" s="807">
        <v>45313</v>
      </c>
      <c r="D2122" s="331">
        <f t="shared" ref="D2122:D2185" si="26">E2122+F2122</f>
        <v>594580.53</v>
      </c>
      <c r="E2122" s="331">
        <v>594380.53</v>
      </c>
      <c r="F2122" s="479">
        <v>200</v>
      </c>
    </row>
    <row r="2123" spans="3:6" x14ac:dyDescent="0.2">
      <c r="C2123" s="807">
        <v>45314</v>
      </c>
      <c r="D2123" s="331">
        <f t="shared" si="26"/>
        <v>593705.04</v>
      </c>
      <c r="E2123" s="331">
        <v>593505.04</v>
      </c>
      <c r="F2123" s="479">
        <v>200</v>
      </c>
    </row>
    <row r="2124" spans="3:6" x14ac:dyDescent="0.2">
      <c r="C2124" s="807">
        <v>45315</v>
      </c>
      <c r="D2124" s="331">
        <f t="shared" si="26"/>
        <v>593705.04</v>
      </c>
      <c r="E2124" s="331">
        <f>E2123</f>
        <v>593505.04</v>
      </c>
      <c r="F2124" s="479">
        <v>200</v>
      </c>
    </row>
    <row r="2125" spans="3:6" x14ac:dyDescent="0.2">
      <c r="C2125" s="807">
        <v>45316</v>
      </c>
      <c r="D2125" s="331">
        <f t="shared" si="26"/>
        <v>587304.93000000005</v>
      </c>
      <c r="E2125" s="331">
        <v>587104.93000000005</v>
      </c>
      <c r="F2125" s="479">
        <v>200</v>
      </c>
    </row>
    <row r="2126" spans="3:6" x14ac:dyDescent="0.2">
      <c r="C2126" s="807">
        <v>45317</v>
      </c>
      <c r="D2126" s="331">
        <f t="shared" si="26"/>
        <v>587269.94999999995</v>
      </c>
      <c r="E2126" s="331">
        <v>587069.94999999995</v>
      </c>
      <c r="F2126" s="479">
        <v>200</v>
      </c>
    </row>
    <row r="2127" spans="3:6" x14ac:dyDescent="0.2">
      <c r="C2127" s="807">
        <v>45320</v>
      </c>
      <c r="D2127" s="331">
        <f t="shared" si="26"/>
        <v>586679.74</v>
      </c>
      <c r="E2127" s="331">
        <v>586479.74</v>
      </c>
      <c r="F2127" s="479">
        <v>200</v>
      </c>
    </row>
    <row r="2128" spans="3:6" x14ac:dyDescent="0.2">
      <c r="C2128" s="807">
        <v>45321</v>
      </c>
      <c r="D2128" s="331">
        <f t="shared" si="26"/>
        <v>553504.59</v>
      </c>
      <c r="E2128" s="331">
        <v>553304.59</v>
      </c>
      <c r="F2128" s="479">
        <v>200</v>
      </c>
    </row>
    <row r="2129" spans="3:6" x14ac:dyDescent="0.2">
      <c r="C2129" s="807">
        <v>45322</v>
      </c>
      <c r="D2129" s="331">
        <f t="shared" si="26"/>
        <v>553504.59</v>
      </c>
      <c r="E2129" s="331">
        <f>E2128</f>
        <v>553304.59</v>
      </c>
      <c r="F2129" s="479">
        <v>200</v>
      </c>
    </row>
    <row r="2130" spans="3:6" x14ac:dyDescent="0.2">
      <c r="C2130" s="807">
        <v>45323</v>
      </c>
      <c r="D2130" s="331">
        <f t="shared" si="26"/>
        <v>553504.59</v>
      </c>
      <c r="E2130" s="331">
        <f>E2129</f>
        <v>553304.59</v>
      </c>
      <c r="F2130" s="479">
        <v>200</v>
      </c>
    </row>
    <row r="2131" spans="3:6" x14ac:dyDescent="0.2">
      <c r="C2131" s="807">
        <v>45324</v>
      </c>
      <c r="D2131" s="331">
        <f t="shared" si="26"/>
        <v>592925.96</v>
      </c>
      <c r="E2131" s="331">
        <v>592725.96</v>
      </c>
      <c r="F2131" s="479">
        <v>200</v>
      </c>
    </row>
    <row r="2132" spans="3:6" x14ac:dyDescent="0.2">
      <c r="C2132" s="807">
        <v>45327</v>
      </c>
      <c r="D2132" s="331">
        <f t="shared" si="26"/>
        <v>579325.18999999994</v>
      </c>
      <c r="E2132" s="331">
        <v>579125.18999999994</v>
      </c>
      <c r="F2132" s="479">
        <v>200</v>
      </c>
    </row>
    <row r="2133" spans="3:6" x14ac:dyDescent="0.2">
      <c r="C2133" s="807">
        <v>45328</v>
      </c>
      <c r="D2133" s="331">
        <f t="shared" si="26"/>
        <v>579515.18999999994</v>
      </c>
      <c r="E2133" s="331">
        <v>579315.18999999994</v>
      </c>
      <c r="F2133" s="479">
        <v>200</v>
      </c>
    </row>
    <row r="2134" spans="3:6" x14ac:dyDescent="0.2">
      <c r="C2134" s="807">
        <v>45329</v>
      </c>
      <c r="D2134" s="331">
        <f t="shared" si="26"/>
        <v>580657.82999999996</v>
      </c>
      <c r="E2134" s="331">
        <v>580457.82999999996</v>
      </c>
      <c r="F2134" s="479">
        <v>200</v>
      </c>
    </row>
    <row r="2135" spans="3:6" x14ac:dyDescent="0.2">
      <c r="C2135" s="807">
        <v>45330</v>
      </c>
      <c r="D2135" s="331">
        <f t="shared" si="26"/>
        <v>579328.14</v>
      </c>
      <c r="E2135" s="331">
        <v>579128.14</v>
      </c>
      <c r="F2135" s="479">
        <v>200</v>
      </c>
    </row>
    <row r="2136" spans="3:6" x14ac:dyDescent="0.2">
      <c r="C2136" s="807">
        <v>45331</v>
      </c>
      <c r="D2136" s="331">
        <f t="shared" si="26"/>
        <v>579328.14</v>
      </c>
      <c r="E2136" s="331">
        <f>E2135</f>
        <v>579128.14</v>
      </c>
      <c r="F2136" s="479">
        <v>200</v>
      </c>
    </row>
    <row r="2137" spans="3:6" x14ac:dyDescent="0.2">
      <c r="C2137" s="807">
        <v>45334</v>
      </c>
      <c r="D2137" s="331">
        <f t="shared" si="26"/>
        <v>543891.63</v>
      </c>
      <c r="E2137" s="331">
        <v>543691.63</v>
      </c>
      <c r="F2137" s="479">
        <v>200</v>
      </c>
    </row>
    <row r="2138" spans="3:6" x14ac:dyDescent="0.2">
      <c r="C2138" s="807">
        <v>45335</v>
      </c>
      <c r="D2138" s="331">
        <f t="shared" si="26"/>
        <v>543891.63</v>
      </c>
      <c r="E2138" s="331">
        <f>E2137</f>
        <v>543691.63</v>
      </c>
      <c r="F2138" s="479">
        <v>200</v>
      </c>
    </row>
    <row r="2139" spans="3:6" x14ac:dyDescent="0.2">
      <c r="C2139" s="807">
        <v>45336</v>
      </c>
      <c r="D2139" s="331">
        <f t="shared" si="26"/>
        <v>579929.61</v>
      </c>
      <c r="E2139" s="331">
        <v>579729.61</v>
      </c>
      <c r="F2139" s="479">
        <v>200</v>
      </c>
    </row>
    <row r="2140" spans="3:6" x14ac:dyDescent="0.2">
      <c r="C2140" s="807">
        <v>45337</v>
      </c>
      <c r="D2140" s="331">
        <f t="shared" si="26"/>
        <v>566140.77</v>
      </c>
      <c r="E2140" s="331">
        <v>565940.77</v>
      </c>
      <c r="F2140" s="479">
        <v>200</v>
      </c>
    </row>
    <row r="2141" spans="3:6" x14ac:dyDescent="0.2">
      <c r="C2141" s="807">
        <v>45338</v>
      </c>
      <c r="D2141" s="331">
        <f t="shared" si="26"/>
        <v>566424.71</v>
      </c>
      <c r="E2141" s="331">
        <v>566224.71</v>
      </c>
      <c r="F2141" s="479">
        <v>200</v>
      </c>
    </row>
    <row r="2142" spans="3:6" x14ac:dyDescent="0.2">
      <c r="C2142" s="807">
        <v>45341</v>
      </c>
      <c r="D2142" s="331">
        <f t="shared" si="26"/>
        <v>566424.71</v>
      </c>
      <c r="E2142" s="331">
        <f>E2141</f>
        <v>566224.71</v>
      </c>
      <c r="F2142" s="479">
        <v>200</v>
      </c>
    </row>
    <row r="2143" spans="3:6" x14ac:dyDescent="0.2">
      <c r="C2143" s="807">
        <v>45342</v>
      </c>
      <c r="D2143" s="331">
        <f t="shared" si="26"/>
        <v>585835.32999999996</v>
      </c>
      <c r="E2143" s="331">
        <v>585635.32999999996</v>
      </c>
      <c r="F2143" s="479">
        <v>200</v>
      </c>
    </row>
    <row r="2144" spans="3:6" x14ac:dyDescent="0.2">
      <c r="C2144" s="807">
        <v>45343</v>
      </c>
      <c r="D2144" s="331">
        <f t="shared" si="26"/>
        <v>585835.32999999996</v>
      </c>
      <c r="E2144" s="331">
        <f>E2143</f>
        <v>585635.32999999996</v>
      </c>
      <c r="F2144" s="479">
        <v>200</v>
      </c>
    </row>
    <row r="2145" spans="3:6" x14ac:dyDescent="0.2">
      <c r="C2145" s="807">
        <v>45344</v>
      </c>
      <c r="D2145" s="331">
        <f t="shared" si="26"/>
        <v>587749.09</v>
      </c>
      <c r="E2145" s="331">
        <v>587549.09</v>
      </c>
      <c r="F2145" s="479">
        <v>200</v>
      </c>
    </row>
    <row r="2146" spans="3:6" x14ac:dyDescent="0.2">
      <c r="C2146" s="807">
        <v>45345</v>
      </c>
      <c r="D2146" s="331">
        <f t="shared" si="26"/>
        <v>587703.09</v>
      </c>
      <c r="E2146" s="331">
        <v>587503.09</v>
      </c>
      <c r="F2146" s="479">
        <v>200</v>
      </c>
    </row>
    <row r="2147" spans="3:6" x14ac:dyDescent="0.2">
      <c r="C2147" s="807">
        <v>45348</v>
      </c>
      <c r="D2147" s="331">
        <f t="shared" si="26"/>
        <v>553831.01</v>
      </c>
      <c r="E2147" s="331">
        <v>553631.01</v>
      </c>
      <c r="F2147" s="479">
        <v>200</v>
      </c>
    </row>
    <row r="2148" spans="3:6" x14ac:dyDescent="0.2">
      <c r="C2148" s="807">
        <v>45349</v>
      </c>
      <c r="D2148" s="331">
        <f t="shared" si="26"/>
        <v>553831.01</v>
      </c>
      <c r="E2148" s="331">
        <f>E2147</f>
        <v>553631.01</v>
      </c>
      <c r="F2148" s="479">
        <v>200</v>
      </c>
    </row>
    <row r="2149" spans="3:6" x14ac:dyDescent="0.2">
      <c r="C2149" s="807">
        <v>45350</v>
      </c>
      <c r="D2149" s="331">
        <f t="shared" si="26"/>
        <v>553831.01</v>
      </c>
      <c r="E2149" s="331">
        <f>E2148</f>
        <v>553631.01</v>
      </c>
      <c r="F2149" s="479">
        <v>200</v>
      </c>
    </row>
    <row r="2150" spans="3:6" x14ac:dyDescent="0.2">
      <c r="C2150" s="807">
        <v>45351</v>
      </c>
      <c r="D2150" s="331">
        <f t="shared" si="26"/>
        <v>553927.51</v>
      </c>
      <c r="E2150" s="331">
        <v>553727.51</v>
      </c>
      <c r="F2150" s="479">
        <v>200</v>
      </c>
    </row>
    <row r="2151" spans="3:6" x14ac:dyDescent="0.2">
      <c r="C2151" s="807">
        <v>45352</v>
      </c>
      <c r="D2151" s="331">
        <f t="shared" si="26"/>
        <v>639044.65</v>
      </c>
      <c r="E2151" s="331">
        <v>638844.65</v>
      </c>
      <c r="F2151" s="479">
        <v>200</v>
      </c>
    </row>
    <row r="2152" spans="3:6" x14ac:dyDescent="0.2">
      <c r="C2152" s="807">
        <v>45355</v>
      </c>
      <c r="D2152" s="331">
        <f t="shared" si="26"/>
        <v>639286.35</v>
      </c>
      <c r="E2152" s="331">
        <v>639086.35</v>
      </c>
      <c r="F2152" s="479">
        <v>200</v>
      </c>
    </row>
    <row r="2153" spans="3:6" x14ac:dyDescent="0.2">
      <c r="C2153" s="807">
        <v>45356</v>
      </c>
      <c r="D2153" s="331">
        <f t="shared" si="26"/>
        <v>639286.35</v>
      </c>
      <c r="E2153" s="331">
        <f>E2152</f>
        <v>639086.35</v>
      </c>
      <c r="F2153" s="479">
        <v>200</v>
      </c>
    </row>
    <row r="2154" spans="3:6" x14ac:dyDescent="0.2">
      <c r="C2154" s="807">
        <v>45357</v>
      </c>
      <c r="D2154" s="331">
        <f t="shared" si="26"/>
        <v>639286.35</v>
      </c>
      <c r="E2154" s="331">
        <f>E2153</f>
        <v>639086.35</v>
      </c>
      <c r="F2154" s="479">
        <v>200</v>
      </c>
    </row>
    <row r="2155" spans="3:6" x14ac:dyDescent="0.2">
      <c r="C2155" s="807">
        <v>45358</v>
      </c>
      <c r="D2155" s="331">
        <f t="shared" si="26"/>
        <v>616931.9</v>
      </c>
      <c r="E2155" s="331">
        <v>616731.9</v>
      </c>
      <c r="F2155" s="479">
        <v>200</v>
      </c>
    </row>
    <row r="2156" spans="3:6" x14ac:dyDescent="0.2">
      <c r="C2156" s="807">
        <v>45359</v>
      </c>
      <c r="D2156" s="331">
        <f t="shared" si="26"/>
        <v>616931.9</v>
      </c>
      <c r="E2156" s="331">
        <f>E2155</f>
        <v>616731.9</v>
      </c>
      <c r="F2156" s="479">
        <v>200</v>
      </c>
    </row>
    <row r="2157" spans="3:6" x14ac:dyDescent="0.2">
      <c r="C2157" s="807">
        <v>45362</v>
      </c>
      <c r="D2157" s="331">
        <f t="shared" si="26"/>
        <v>616931.9</v>
      </c>
      <c r="E2157" s="331">
        <f>E2156</f>
        <v>616731.9</v>
      </c>
      <c r="F2157" s="479">
        <v>200</v>
      </c>
    </row>
    <row r="2158" spans="3:6" x14ac:dyDescent="0.2">
      <c r="C2158" s="807">
        <v>45363</v>
      </c>
      <c r="D2158" s="331">
        <f t="shared" si="26"/>
        <v>580620.53</v>
      </c>
      <c r="E2158" s="331">
        <v>580420.53</v>
      </c>
      <c r="F2158" s="479">
        <v>200</v>
      </c>
    </row>
    <row r="2159" spans="3:6" x14ac:dyDescent="0.2">
      <c r="C2159" s="807">
        <v>45364</v>
      </c>
      <c r="D2159" s="331">
        <f t="shared" si="26"/>
        <v>589303.47</v>
      </c>
      <c r="E2159" s="331">
        <v>589103.47</v>
      </c>
      <c r="F2159" s="479">
        <v>200</v>
      </c>
    </row>
    <row r="2160" spans="3:6" x14ac:dyDescent="0.2">
      <c r="C2160" s="807">
        <v>45365</v>
      </c>
      <c r="D2160" s="331">
        <f t="shared" si="26"/>
        <v>573439.49</v>
      </c>
      <c r="E2160" s="331">
        <v>573239.49</v>
      </c>
      <c r="F2160" s="479">
        <v>200</v>
      </c>
    </row>
    <row r="2161" spans="3:6" x14ac:dyDescent="0.2">
      <c r="C2161" s="807">
        <v>45366</v>
      </c>
      <c r="D2161" s="331">
        <f t="shared" si="26"/>
        <v>573173.1</v>
      </c>
      <c r="E2161" s="331">
        <v>572973.1</v>
      </c>
      <c r="F2161" s="479">
        <v>200</v>
      </c>
    </row>
    <row r="2162" spans="3:6" x14ac:dyDescent="0.2">
      <c r="C2162" s="807">
        <v>45369</v>
      </c>
      <c r="D2162" s="331">
        <f t="shared" si="26"/>
        <v>597404.67000000004</v>
      </c>
      <c r="E2162" s="331">
        <v>597204.67000000004</v>
      </c>
      <c r="F2162" s="479">
        <v>200</v>
      </c>
    </row>
    <row r="2163" spans="3:6" x14ac:dyDescent="0.2">
      <c r="C2163" s="807">
        <v>45370</v>
      </c>
      <c r="D2163" s="331">
        <f t="shared" si="26"/>
        <v>597454.31999999995</v>
      </c>
      <c r="E2163" s="331">
        <v>597254.31999999995</v>
      </c>
      <c r="F2163" s="479">
        <v>200</v>
      </c>
    </row>
    <row r="2164" spans="3:6" x14ac:dyDescent="0.2">
      <c r="C2164" s="807">
        <v>45371</v>
      </c>
      <c r="D2164" s="331">
        <f t="shared" si="26"/>
        <v>594610.32999999996</v>
      </c>
      <c r="E2164" s="331">
        <v>594410.32999999996</v>
      </c>
      <c r="F2164" s="479">
        <v>200</v>
      </c>
    </row>
    <row r="2165" spans="3:6" x14ac:dyDescent="0.2">
      <c r="C2165" s="807">
        <v>45372</v>
      </c>
      <c r="D2165" s="331">
        <f t="shared" si="26"/>
        <v>599459.89</v>
      </c>
      <c r="E2165" s="331">
        <v>599259.89</v>
      </c>
      <c r="F2165" s="479">
        <v>200</v>
      </c>
    </row>
    <row r="2166" spans="3:6" x14ac:dyDescent="0.2">
      <c r="C2166" s="807">
        <v>45373</v>
      </c>
      <c r="D2166" s="331">
        <f t="shared" si="26"/>
        <v>621376.56999999995</v>
      </c>
      <c r="E2166" s="331">
        <v>621176.56999999995</v>
      </c>
      <c r="F2166" s="479">
        <v>200</v>
      </c>
    </row>
    <row r="2167" spans="3:6" x14ac:dyDescent="0.2">
      <c r="C2167" s="807">
        <v>45376</v>
      </c>
      <c r="D2167" s="331">
        <f t="shared" si="26"/>
        <v>639731.09</v>
      </c>
      <c r="E2167" s="331">
        <v>639531.09</v>
      </c>
      <c r="F2167" s="479">
        <v>200</v>
      </c>
    </row>
    <row r="2168" spans="3:6" x14ac:dyDescent="0.2">
      <c r="C2168" s="807">
        <v>45377</v>
      </c>
      <c r="D2168" s="331">
        <f t="shared" si="26"/>
        <v>603296.46</v>
      </c>
      <c r="E2168" s="331">
        <v>603096.46</v>
      </c>
      <c r="F2168" s="479">
        <v>200</v>
      </c>
    </row>
    <row r="2169" spans="3:6" x14ac:dyDescent="0.2">
      <c r="C2169" s="807">
        <v>45378</v>
      </c>
      <c r="D2169" s="331">
        <f t="shared" si="26"/>
        <v>602128.03</v>
      </c>
      <c r="E2169" s="331">
        <v>601928.03</v>
      </c>
      <c r="F2169" s="479">
        <v>200</v>
      </c>
    </row>
    <row r="2170" spans="3:6" x14ac:dyDescent="0.2">
      <c r="C2170" s="807">
        <v>45379</v>
      </c>
      <c r="D2170" s="331">
        <f t="shared" si="26"/>
        <v>610877.03</v>
      </c>
      <c r="E2170" s="331">
        <v>610677.03</v>
      </c>
      <c r="F2170" s="479">
        <v>200</v>
      </c>
    </row>
    <row r="2171" spans="3:6" x14ac:dyDescent="0.2">
      <c r="C2171" s="807">
        <v>45380</v>
      </c>
      <c r="D2171" s="331">
        <f t="shared" si="26"/>
        <v>629664.21</v>
      </c>
      <c r="E2171" s="331">
        <v>629464.21</v>
      </c>
      <c r="F2171" s="479">
        <v>200</v>
      </c>
    </row>
    <row r="2172" spans="3:6" x14ac:dyDescent="0.2">
      <c r="C2172" s="807">
        <v>45383</v>
      </c>
      <c r="D2172" s="331">
        <f t="shared" si="26"/>
        <v>629664.21</v>
      </c>
      <c r="E2172" s="331">
        <f>E2171</f>
        <v>629464.21</v>
      </c>
      <c r="F2172" s="479">
        <v>200</v>
      </c>
    </row>
    <row r="2173" spans="3:6" x14ac:dyDescent="0.2">
      <c r="C2173" s="807">
        <v>45384</v>
      </c>
      <c r="D2173" s="331">
        <f t="shared" si="26"/>
        <v>629664.21</v>
      </c>
      <c r="E2173" s="331">
        <f>E2172</f>
        <v>629464.21</v>
      </c>
      <c r="F2173" s="479">
        <v>200</v>
      </c>
    </row>
    <row r="2174" spans="3:6" x14ac:dyDescent="0.2">
      <c r="C2174" s="807">
        <v>45385</v>
      </c>
      <c r="D2174" s="331">
        <f t="shared" si="26"/>
        <v>629904.21</v>
      </c>
      <c r="E2174" s="331">
        <v>629704.21</v>
      </c>
      <c r="F2174" s="479">
        <v>200</v>
      </c>
    </row>
    <row r="2175" spans="3:6" x14ac:dyDescent="0.2">
      <c r="C2175" s="807">
        <v>45386</v>
      </c>
      <c r="D2175" s="331">
        <f t="shared" si="26"/>
        <v>629904.21</v>
      </c>
      <c r="E2175" s="331">
        <f>E2174</f>
        <v>629704.21</v>
      </c>
      <c r="F2175" s="479">
        <v>200</v>
      </c>
    </row>
    <row r="2176" spans="3:6" x14ac:dyDescent="0.2">
      <c r="C2176" s="807">
        <v>45387</v>
      </c>
      <c r="D2176" s="331">
        <f t="shared" si="26"/>
        <v>630020.39</v>
      </c>
      <c r="E2176" s="331">
        <v>629820.39</v>
      </c>
      <c r="F2176" s="479">
        <v>200</v>
      </c>
    </row>
    <row r="2177" spans="3:6" x14ac:dyDescent="0.2">
      <c r="C2177" s="807">
        <v>45390</v>
      </c>
      <c r="D2177" s="331">
        <f t="shared" si="26"/>
        <v>630714.61</v>
      </c>
      <c r="E2177" s="331">
        <v>630514.61</v>
      </c>
      <c r="F2177" s="479">
        <v>200</v>
      </c>
    </row>
    <row r="2178" spans="3:6" x14ac:dyDescent="0.2">
      <c r="C2178" s="807">
        <v>45391</v>
      </c>
      <c r="D2178" s="331">
        <f t="shared" si="26"/>
        <v>573875.92000000004</v>
      </c>
      <c r="E2178" s="331">
        <v>573675.92000000004</v>
      </c>
      <c r="F2178" s="479">
        <v>200</v>
      </c>
    </row>
    <row r="2179" spans="3:6" x14ac:dyDescent="0.2">
      <c r="C2179" s="807">
        <v>45392</v>
      </c>
      <c r="D2179" s="331">
        <f t="shared" si="26"/>
        <v>590385.61</v>
      </c>
      <c r="E2179" s="331">
        <v>590185.61</v>
      </c>
      <c r="F2179" s="479">
        <v>200</v>
      </c>
    </row>
    <row r="2180" spans="3:6" x14ac:dyDescent="0.2">
      <c r="C2180" s="807">
        <v>45393</v>
      </c>
      <c r="D2180" s="331">
        <f t="shared" si="26"/>
        <v>590798.61</v>
      </c>
      <c r="E2180" s="331">
        <v>590598.61</v>
      </c>
      <c r="F2180" s="479">
        <v>200</v>
      </c>
    </row>
    <row r="2181" spans="3:6" x14ac:dyDescent="0.2">
      <c r="C2181" s="807">
        <v>45394</v>
      </c>
      <c r="D2181" s="331">
        <f t="shared" si="26"/>
        <v>590447.57999999996</v>
      </c>
      <c r="E2181" s="331">
        <v>590247.57999999996</v>
      </c>
      <c r="F2181" s="479">
        <v>200</v>
      </c>
    </row>
    <row r="2182" spans="3:6" x14ac:dyDescent="0.2">
      <c r="C2182" s="807">
        <v>45397</v>
      </c>
      <c r="D2182" s="331">
        <f t="shared" si="26"/>
        <v>589784.82999999996</v>
      </c>
      <c r="E2182" s="331">
        <v>589584.82999999996</v>
      </c>
      <c r="F2182" s="479">
        <v>200</v>
      </c>
    </row>
    <row r="2183" spans="3:6" x14ac:dyDescent="0.2">
      <c r="C2183" s="807">
        <v>45398</v>
      </c>
      <c r="D2183" s="331">
        <f t="shared" si="26"/>
        <v>591275.29</v>
      </c>
      <c r="E2183" s="331">
        <v>591075.29</v>
      </c>
      <c r="F2183" s="479">
        <v>200</v>
      </c>
    </row>
    <row r="2184" spans="3:6" x14ac:dyDescent="0.2">
      <c r="C2184" s="807">
        <v>45399</v>
      </c>
      <c r="D2184" s="331">
        <f t="shared" si="26"/>
        <v>591604.29</v>
      </c>
      <c r="E2184" s="331">
        <v>591404.29</v>
      </c>
      <c r="F2184" s="479">
        <v>200</v>
      </c>
    </row>
    <row r="2185" spans="3:6" x14ac:dyDescent="0.2">
      <c r="C2185" s="807">
        <v>45400</v>
      </c>
      <c r="D2185" s="331">
        <f t="shared" si="26"/>
        <v>595308.17000000004</v>
      </c>
      <c r="E2185" s="331">
        <v>595108.17000000004</v>
      </c>
      <c r="F2185" s="479">
        <v>200</v>
      </c>
    </row>
    <row r="2186" spans="3:6" x14ac:dyDescent="0.2">
      <c r="C2186" s="807">
        <v>45401</v>
      </c>
      <c r="D2186" s="331">
        <f t="shared" ref="D2186:D2220" si="27">E2186+F2186</f>
        <v>595308.17000000004</v>
      </c>
      <c r="E2186" s="331">
        <f>E2185</f>
        <v>595108.17000000004</v>
      </c>
      <c r="F2186" s="479">
        <v>200</v>
      </c>
    </row>
    <row r="2187" spans="3:6" x14ac:dyDescent="0.2">
      <c r="C2187" s="807">
        <v>45404</v>
      </c>
      <c r="D2187" s="331">
        <f t="shared" si="27"/>
        <v>592390.28</v>
      </c>
      <c r="E2187" s="331">
        <v>592190.28</v>
      </c>
      <c r="F2187" s="479">
        <v>200</v>
      </c>
    </row>
    <row r="2188" spans="3:6" x14ac:dyDescent="0.2">
      <c r="C2188" s="807">
        <v>45405</v>
      </c>
      <c r="D2188" s="331">
        <f t="shared" si="27"/>
        <v>554571.62</v>
      </c>
      <c r="E2188" s="331">
        <v>554371.62</v>
      </c>
      <c r="F2188" s="479">
        <v>200</v>
      </c>
    </row>
    <row r="2189" spans="3:6" x14ac:dyDescent="0.2">
      <c r="C2189" s="807">
        <v>45406</v>
      </c>
      <c r="D2189" s="331">
        <f t="shared" si="27"/>
        <v>555118.31999999995</v>
      </c>
      <c r="E2189" s="331">
        <v>554918.31999999995</v>
      </c>
      <c r="F2189" s="479">
        <v>200</v>
      </c>
    </row>
    <row r="2190" spans="3:6" x14ac:dyDescent="0.2">
      <c r="C2190" s="807">
        <v>45407</v>
      </c>
      <c r="D2190" s="331">
        <f t="shared" si="27"/>
        <v>545445.69999999995</v>
      </c>
      <c r="E2190" s="331">
        <v>545245.69999999995</v>
      </c>
      <c r="F2190" s="479">
        <v>200</v>
      </c>
    </row>
    <row r="2191" spans="3:6" x14ac:dyDescent="0.2">
      <c r="C2191" s="807">
        <v>45408</v>
      </c>
      <c r="D2191" s="331">
        <f t="shared" si="27"/>
        <v>557177.62</v>
      </c>
      <c r="E2191" s="331">
        <v>556977.62</v>
      </c>
      <c r="F2191" s="479">
        <v>200</v>
      </c>
    </row>
    <row r="2192" spans="3:6" x14ac:dyDescent="0.2">
      <c r="C2192" s="807">
        <v>45411</v>
      </c>
      <c r="D2192" s="331">
        <f t="shared" si="27"/>
        <v>557177.62</v>
      </c>
      <c r="E2192" s="331">
        <f>E2191</f>
        <v>556977.62</v>
      </c>
      <c r="F2192" s="479">
        <v>200</v>
      </c>
    </row>
    <row r="2193" spans="3:6" x14ac:dyDescent="0.2">
      <c r="C2193" s="807">
        <v>45412</v>
      </c>
      <c r="D2193" s="331">
        <f t="shared" si="27"/>
        <v>557177.62</v>
      </c>
      <c r="E2193" s="331">
        <f>E2192</f>
        <v>556977.62</v>
      </c>
      <c r="F2193" s="479">
        <v>200</v>
      </c>
    </row>
    <row r="2194" spans="3:6" x14ac:dyDescent="0.2">
      <c r="C2194" s="807">
        <v>45413</v>
      </c>
      <c r="D2194" s="331">
        <f t="shared" si="27"/>
        <v>557177.62</v>
      </c>
      <c r="E2194" s="331">
        <f>E2193</f>
        <v>556977.62</v>
      </c>
      <c r="F2194" s="479">
        <v>200</v>
      </c>
    </row>
    <row r="2195" spans="3:6" x14ac:dyDescent="0.2">
      <c r="C2195" s="807">
        <v>45414</v>
      </c>
      <c r="D2195" s="331">
        <f t="shared" si="27"/>
        <v>553656.31999999995</v>
      </c>
      <c r="E2195" s="331">
        <v>553456.31999999995</v>
      </c>
      <c r="F2195" s="479">
        <v>200</v>
      </c>
    </row>
    <row r="2196" spans="3:6" x14ac:dyDescent="0.2">
      <c r="C2196" s="807">
        <v>45415</v>
      </c>
      <c r="D2196" s="331">
        <f t="shared" si="27"/>
        <v>576179.18000000005</v>
      </c>
      <c r="E2196" s="331">
        <v>575979.18000000005</v>
      </c>
      <c r="F2196" s="479">
        <v>200</v>
      </c>
    </row>
    <row r="2197" spans="3:6" x14ac:dyDescent="0.2">
      <c r="C2197" s="807">
        <v>45418</v>
      </c>
      <c r="D2197" s="331">
        <f t="shared" si="27"/>
        <v>561372.46</v>
      </c>
      <c r="E2197" s="331">
        <v>561172.46</v>
      </c>
      <c r="F2197" s="479">
        <v>200</v>
      </c>
    </row>
    <row r="2198" spans="3:6" x14ac:dyDescent="0.2">
      <c r="C2198" s="807">
        <v>45419</v>
      </c>
      <c r="D2198" s="331">
        <f t="shared" si="27"/>
        <v>524111.97</v>
      </c>
      <c r="E2198" s="331">
        <v>523911.97</v>
      </c>
      <c r="F2198" s="479">
        <v>200</v>
      </c>
    </row>
    <row r="2199" spans="3:6" x14ac:dyDescent="0.2">
      <c r="C2199" s="807">
        <v>45420</v>
      </c>
      <c r="D2199" s="331">
        <f t="shared" si="27"/>
        <v>524111.97</v>
      </c>
      <c r="E2199" s="331">
        <f>E2198</f>
        <v>523911.97</v>
      </c>
      <c r="F2199" s="479">
        <v>200</v>
      </c>
    </row>
    <row r="2200" spans="3:6" x14ac:dyDescent="0.2">
      <c r="C2200" s="807">
        <v>45421</v>
      </c>
      <c r="D2200" s="331">
        <f t="shared" si="27"/>
        <v>518915.42</v>
      </c>
      <c r="E2200" s="331">
        <v>518715.42</v>
      </c>
      <c r="F2200" s="479">
        <v>200</v>
      </c>
    </row>
    <row r="2201" spans="3:6" x14ac:dyDescent="0.2">
      <c r="C2201" s="807">
        <v>45422</v>
      </c>
      <c r="D2201" s="331">
        <f t="shared" si="27"/>
        <v>518564.39</v>
      </c>
      <c r="E2201" s="331">
        <v>518364.39</v>
      </c>
      <c r="F2201" s="479">
        <v>200</v>
      </c>
    </row>
    <row r="2202" spans="3:6" x14ac:dyDescent="0.2">
      <c r="C2202" s="807">
        <v>45425</v>
      </c>
      <c r="D2202" s="331">
        <f t="shared" si="27"/>
        <v>518564.39</v>
      </c>
      <c r="E2202" s="331">
        <f>E2201</f>
        <v>518364.39</v>
      </c>
      <c r="F2202" s="479">
        <v>200</v>
      </c>
    </row>
    <row r="2203" spans="3:6" x14ac:dyDescent="0.2">
      <c r="C2203" s="807">
        <v>45426</v>
      </c>
      <c r="D2203" s="331">
        <f t="shared" si="27"/>
        <v>518564.39</v>
      </c>
      <c r="E2203" s="331">
        <f>E2202</f>
        <v>518364.39</v>
      </c>
      <c r="F2203" s="479">
        <v>200</v>
      </c>
    </row>
    <row r="2204" spans="3:6" x14ac:dyDescent="0.2">
      <c r="C2204" s="807">
        <v>45427</v>
      </c>
      <c r="D2204" s="331">
        <f t="shared" si="27"/>
        <v>518615.52</v>
      </c>
      <c r="E2204" s="331">
        <v>518415.52</v>
      </c>
      <c r="F2204" s="479">
        <v>200</v>
      </c>
    </row>
    <row r="2205" spans="3:6" x14ac:dyDescent="0.2">
      <c r="C2205" s="807">
        <v>45428</v>
      </c>
      <c r="D2205" s="331">
        <f t="shared" si="27"/>
        <v>521662.04</v>
      </c>
      <c r="E2205" s="331">
        <v>521462.04</v>
      </c>
      <c r="F2205" s="479">
        <v>200</v>
      </c>
    </row>
    <row r="2206" spans="3:6" x14ac:dyDescent="0.2">
      <c r="C2206" s="807">
        <v>45429</v>
      </c>
      <c r="D2206" s="331">
        <f t="shared" si="27"/>
        <v>555436.06999999995</v>
      </c>
      <c r="E2206" s="331">
        <v>555236.06999999995</v>
      </c>
      <c r="F2206" s="479">
        <v>200</v>
      </c>
    </row>
    <row r="2207" spans="3:6" x14ac:dyDescent="0.2">
      <c r="C2207" s="807">
        <v>45432</v>
      </c>
      <c r="D2207" s="331">
        <f t="shared" si="27"/>
        <v>553235.18000000005</v>
      </c>
      <c r="E2207" s="331">
        <v>553035.18000000005</v>
      </c>
      <c r="F2207" s="479">
        <v>200</v>
      </c>
    </row>
    <row r="2208" spans="3:6" x14ac:dyDescent="0.2">
      <c r="C2208" s="807">
        <v>45433</v>
      </c>
      <c r="D2208" s="331">
        <f t="shared" si="27"/>
        <v>516429.69</v>
      </c>
      <c r="E2208" s="331">
        <v>516229.69</v>
      </c>
      <c r="F2208" s="479">
        <v>200</v>
      </c>
    </row>
    <row r="2209" spans="3:7" x14ac:dyDescent="0.2">
      <c r="C2209" s="807">
        <v>45434</v>
      </c>
      <c r="D2209" s="331">
        <f t="shared" si="27"/>
        <v>574828.56999999995</v>
      </c>
      <c r="E2209" s="331">
        <v>574628.56999999995</v>
      </c>
      <c r="F2209" s="479">
        <v>200</v>
      </c>
    </row>
    <row r="2210" spans="3:7" x14ac:dyDescent="0.2">
      <c r="C2210" s="807">
        <v>45435</v>
      </c>
      <c r="D2210" s="331">
        <f t="shared" si="27"/>
        <v>574828.56999999995</v>
      </c>
      <c r="E2210" s="331">
        <f>E2209</f>
        <v>574628.56999999995</v>
      </c>
      <c r="F2210" s="479">
        <v>200</v>
      </c>
    </row>
    <row r="2211" spans="3:7" x14ac:dyDescent="0.2">
      <c r="C2211" s="807">
        <v>45436</v>
      </c>
      <c r="D2211" s="331">
        <f t="shared" si="27"/>
        <v>574828.56999999995</v>
      </c>
      <c r="E2211" s="331">
        <f>E2210</f>
        <v>574628.56999999995</v>
      </c>
      <c r="F2211" s="479">
        <v>200</v>
      </c>
    </row>
    <row r="2212" spans="3:7" x14ac:dyDescent="0.2">
      <c r="C2212" s="807">
        <v>45439</v>
      </c>
      <c r="D2212" s="331">
        <f t="shared" si="27"/>
        <v>574828.56999999995</v>
      </c>
      <c r="E2212" s="331">
        <f>E2211</f>
        <v>574628.56999999995</v>
      </c>
      <c r="F2212" s="479">
        <v>200</v>
      </c>
    </row>
    <row r="2213" spans="3:7" x14ac:dyDescent="0.2">
      <c r="C2213" s="807">
        <v>45440</v>
      </c>
      <c r="D2213" s="331">
        <f t="shared" si="27"/>
        <v>574828.56999999995</v>
      </c>
      <c r="E2213" s="331">
        <f>E2212</f>
        <v>574628.56999999995</v>
      </c>
      <c r="F2213" s="479">
        <v>200</v>
      </c>
    </row>
    <row r="2214" spans="3:7" x14ac:dyDescent="0.2">
      <c r="C2214" s="807">
        <v>45441</v>
      </c>
      <c r="D2214" s="331">
        <f t="shared" si="27"/>
        <v>574797.69999999995</v>
      </c>
      <c r="E2214" s="331">
        <v>574597.69999999995</v>
      </c>
      <c r="F2214" s="479">
        <v>200</v>
      </c>
    </row>
    <row r="2215" spans="3:7" x14ac:dyDescent="0.2">
      <c r="C2215" s="807">
        <v>45442</v>
      </c>
      <c r="D2215" s="331">
        <f t="shared" si="27"/>
        <v>574797.69999999995</v>
      </c>
      <c r="E2215" s="331">
        <f>E2214</f>
        <v>574597.69999999995</v>
      </c>
      <c r="F2215" s="479">
        <v>200</v>
      </c>
    </row>
    <row r="2216" spans="3:7" x14ac:dyDescent="0.2">
      <c r="C2216" s="807">
        <v>45443</v>
      </c>
      <c r="D2216" s="331">
        <f t="shared" si="27"/>
        <v>581217.82999999996</v>
      </c>
      <c r="E2216" s="331">
        <v>581017.82999999996</v>
      </c>
      <c r="F2216" s="479">
        <v>200</v>
      </c>
    </row>
    <row r="2217" spans="3:7" x14ac:dyDescent="0.2">
      <c r="C2217" s="807">
        <v>45446</v>
      </c>
      <c r="D2217" s="331">
        <f t="shared" si="27"/>
        <v>581797.82999999996</v>
      </c>
      <c r="E2217" s="331">
        <v>581597.82999999996</v>
      </c>
      <c r="F2217" s="479">
        <v>200</v>
      </c>
    </row>
    <row r="2218" spans="3:7" x14ac:dyDescent="0.2">
      <c r="C2218" s="807">
        <v>45447</v>
      </c>
      <c r="D2218" s="331">
        <f t="shared" si="27"/>
        <v>581797.82999999996</v>
      </c>
      <c r="E2218" s="331">
        <f>E2217</f>
        <v>581597.82999999996</v>
      </c>
      <c r="F2218" s="479">
        <v>200</v>
      </c>
    </row>
    <row r="2219" spans="3:7" x14ac:dyDescent="0.2">
      <c r="C2219" s="807">
        <v>45448</v>
      </c>
      <c r="D2219" s="331">
        <f t="shared" si="27"/>
        <v>547045.46</v>
      </c>
      <c r="E2219" s="331">
        <v>546845.46</v>
      </c>
      <c r="F2219" s="479">
        <v>200</v>
      </c>
    </row>
    <row r="2220" spans="3:7" x14ac:dyDescent="0.2">
      <c r="C2220" s="807">
        <v>45449</v>
      </c>
      <c r="D2220" s="331">
        <f t="shared" si="27"/>
        <v>547045.46</v>
      </c>
      <c r="E2220" s="331">
        <f>E2219</f>
        <v>546845.46</v>
      </c>
      <c r="F2220" s="479">
        <v>200</v>
      </c>
    </row>
    <row r="2221" spans="3:7" x14ac:dyDescent="0.2">
      <c r="C2221" s="807">
        <v>45450</v>
      </c>
      <c r="D2221" s="331">
        <f>E2221+F2221+G2221</f>
        <v>545941.55000000005</v>
      </c>
      <c r="E2221" s="331">
        <v>295741.55</v>
      </c>
      <c r="F2221" s="479">
        <v>200</v>
      </c>
      <c r="G2221" s="589">
        <v>250000</v>
      </c>
    </row>
    <row r="2222" spans="3:7" x14ac:dyDescent="0.2">
      <c r="C2222" s="807">
        <v>45453</v>
      </c>
      <c r="D2222" s="331">
        <f t="shared" ref="D2222:D2285" si="28">E2222+F2222+G2222</f>
        <v>546153.55000000005</v>
      </c>
      <c r="E2222" s="331">
        <v>295953.55</v>
      </c>
      <c r="F2222" s="479">
        <v>200</v>
      </c>
      <c r="G2222" s="589">
        <v>250000</v>
      </c>
    </row>
    <row r="2223" spans="3:7" x14ac:dyDescent="0.2">
      <c r="C2223" s="807">
        <v>45454</v>
      </c>
      <c r="D2223" s="331">
        <f t="shared" si="28"/>
        <v>546153.55000000005</v>
      </c>
      <c r="E2223" s="331">
        <f>E2222</f>
        <v>295953.55</v>
      </c>
      <c r="F2223" s="479">
        <v>200</v>
      </c>
      <c r="G2223" s="589">
        <v>250000</v>
      </c>
    </row>
    <row r="2224" spans="3:7" x14ac:dyDescent="0.2">
      <c r="C2224" s="807">
        <v>45455</v>
      </c>
      <c r="D2224" s="331">
        <f t="shared" si="28"/>
        <v>545553.55000000005</v>
      </c>
      <c r="E2224" s="331">
        <v>295353.55</v>
      </c>
      <c r="F2224" s="479">
        <v>200</v>
      </c>
      <c r="G2224" s="589">
        <v>250000</v>
      </c>
    </row>
    <row r="2225" spans="3:7" x14ac:dyDescent="0.2">
      <c r="C2225" s="807">
        <v>45456</v>
      </c>
      <c r="D2225" s="331">
        <f t="shared" si="28"/>
        <v>548862.66999999993</v>
      </c>
      <c r="E2225" s="331">
        <v>298662.67</v>
      </c>
      <c r="F2225" s="479">
        <v>200</v>
      </c>
      <c r="G2225" s="589">
        <v>250000</v>
      </c>
    </row>
    <row r="2226" spans="3:7" x14ac:dyDescent="0.2">
      <c r="C2226" s="807">
        <v>45457</v>
      </c>
      <c r="D2226" s="331">
        <f t="shared" si="28"/>
        <v>549142.23</v>
      </c>
      <c r="E2226" s="331">
        <v>298942.23</v>
      </c>
      <c r="F2226" s="479">
        <v>200</v>
      </c>
      <c r="G2226" s="589">
        <v>250000</v>
      </c>
    </row>
    <row r="2227" spans="3:7" x14ac:dyDescent="0.2">
      <c r="C2227" s="807">
        <v>45460</v>
      </c>
      <c r="D2227" s="331">
        <f t="shared" si="28"/>
        <v>549142.23</v>
      </c>
      <c r="E2227" s="331">
        <f>E2226</f>
        <v>298942.23</v>
      </c>
      <c r="F2227" s="479">
        <v>200</v>
      </c>
      <c r="G2227" s="589">
        <v>250000</v>
      </c>
    </row>
    <row r="2228" spans="3:7" x14ac:dyDescent="0.2">
      <c r="C2228" s="807">
        <v>45461</v>
      </c>
      <c r="D2228" s="331">
        <f t="shared" si="28"/>
        <v>514004.18</v>
      </c>
      <c r="E2228" s="331">
        <v>263804.18</v>
      </c>
      <c r="F2228" s="479">
        <v>200</v>
      </c>
      <c r="G2228" s="589">
        <v>250000</v>
      </c>
    </row>
    <row r="2229" spans="3:7" x14ac:dyDescent="0.2">
      <c r="C2229" s="807">
        <v>45462</v>
      </c>
      <c r="D2229" s="331">
        <f t="shared" si="28"/>
        <v>514004.18</v>
      </c>
      <c r="E2229" s="331">
        <f>E2228</f>
        <v>263804.18</v>
      </c>
      <c r="F2229" s="479">
        <v>200</v>
      </c>
      <c r="G2229" s="589">
        <v>250000</v>
      </c>
    </row>
    <row r="2230" spans="3:7" x14ac:dyDescent="0.2">
      <c r="C2230" s="807">
        <v>45463</v>
      </c>
      <c r="D2230" s="331">
        <f t="shared" si="28"/>
        <v>511182.78</v>
      </c>
      <c r="E2230" s="331">
        <v>260982.78</v>
      </c>
      <c r="F2230" s="479">
        <v>200</v>
      </c>
      <c r="G2230" s="589">
        <v>250000</v>
      </c>
    </row>
    <row r="2231" spans="3:7" x14ac:dyDescent="0.2">
      <c r="C2231" s="807">
        <v>45464</v>
      </c>
      <c r="D2231" s="331">
        <f t="shared" si="28"/>
        <v>510853.66000000003</v>
      </c>
      <c r="E2231" s="331">
        <v>260653.66</v>
      </c>
      <c r="F2231" s="479">
        <v>200</v>
      </c>
      <c r="G2231" s="589">
        <v>250000</v>
      </c>
    </row>
    <row r="2232" spans="3:7" x14ac:dyDescent="0.2">
      <c r="C2232" s="807">
        <v>45467</v>
      </c>
      <c r="D2232" s="331">
        <f t="shared" si="28"/>
        <v>507819.97</v>
      </c>
      <c r="E2232" s="331">
        <v>257619.97</v>
      </c>
      <c r="F2232" s="479">
        <v>200</v>
      </c>
      <c r="G2232" s="589">
        <v>250000</v>
      </c>
    </row>
    <row r="2233" spans="3:7" x14ac:dyDescent="0.2">
      <c r="C2233" s="807">
        <v>45468</v>
      </c>
      <c r="D2233" s="331">
        <f t="shared" si="28"/>
        <v>507789.1</v>
      </c>
      <c r="E2233" s="331">
        <v>257589.1</v>
      </c>
      <c r="F2233" s="479">
        <v>200</v>
      </c>
      <c r="G2233" s="589">
        <v>250000</v>
      </c>
    </row>
    <row r="2234" spans="3:7" x14ac:dyDescent="0.2">
      <c r="C2234" s="807">
        <v>45469</v>
      </c>
      <c r="D2234" s="364">
        <f t="shared" si="28"/>
        <v>507391.61</v>
      </c>
      <c r="E2234" s="331">
        <v>257191.61</v>
      </c>
      <c r="F2234" s="479">
        <v>200</v>
      </c>
      <c r="G2234" s="589">
        <v>250000</v>
      </c>
    </row>
    <row r="2235" spans="3:7" x14ac:dyDescent="0.2">
      <c r="C2235" s="807">
        <v>45470</v>
      </c>
      <c r="D2235" s="331">
        <f t="shared" si="28"/>
        <v>518580.22</v>
      </c>
      <c r="E2235" s="331">
        <v>268380.21999999997</v>
      </c>
      <c r="F2235" s="479">
        <v>200</v>
      </c>
      <c r="G2235" s="589">
        <v>250000</v>
      </c>
    </row>
    <row r="2236" spans="3:7" x14ac:dyDescent="0.2">
      <c r="C2236" s="807">
        <v>45471</v>
      </c>
      <c r="D2236" s="331">
        <f t="shared" si="28"/>
        <v>550978.54</v>
      </c>
      <c r="E2236" s="331">
        <v>300106.05</v>
      </c>
      <c r="F2236" s="479">
        <v>200</v>
      </c>
      <c r="G2236" s="589">
        <v>250672.49</v>
      </c>
    </row>
    <row r="2237" spans="3:7" x14ac:dyDescent="0.2">
      <c r="C2237" s="807">
        <v>45474</v>
      </c>
      <c r="D2237" s="331">
        <f t="shared" si="28"/>
        <v>517674.89</v>
      </c>
      <c r="E2237" s="331">
        <v>266802.40000000002</v>
      </c>
      <c r="F2237" s="479">
        <v>200</v>
      </c>
      <c r="G2237" s="589">
        <v>250672.49</v>
      </c>
    </row>
    <row r="2238" spans="3:7" x14ac:dyDescent="0.2">
      <c r="C2238" s="807">
        <v>45475</v>
      </c>
      <c r="D2238" s="331">
        <f t="shared" si="28"/>
        <v>517674.89</v>
      </c>
      <c r="E2238" s="331">
        <f>E2237</f>
        <v>266802.40000000002</v>
      </c>
      <c r="F2238" s="479">
        <v>200</v>
      </c>
      <c r="G2238" s="589">
        <v>250672.49</v>
      </c>
    </row>
    <row r="2239" spans="3:7" x14ac:dyDescent="0.2">
      <c r="C2239" s="807">
        <v>45476</v>
      </c>
      <c r="D2239" s="331">
        <f t="shared" si="28"/>
        <v>505993.19999999995</v>
      </c>
      <c r="E2239" s="331">
        <v>255120.71</v>
      </c>
      <c r="F2239" s="479">
        <v>200</v>
      </c>
      <c r="G2239" s="589">
        <v>250672.49</v>
      </c>
    </row>
    <row r="2240" spans="3:7" x14ac:dyDescent="0.2">
      <c r="C2240" s="807">
        <v>45477</v>
      </c>
      <c r="D2240" s="331">
        <f t="shared" si="28"/>
        <v>505993.19999999995</v>
      </c>
      <c r="E2240" s="331">
        <f>E2239</f>
        <v>255120.71</v>
      </c>
      <c r="F2240" s="479">
        <v>200</v>
      </c>
      <c r="G2240" s="589">
        <v>250672.49</v>
      </c>
    </row>
    <row r="2241" spans="3:7" x14ac:dyDescent="0.2">
      <c r="C2241" s="807">
        <v>45478</v>
      </c>
      <c r="D2241" s="331">
        <f t="shared" si="28"/>
        <v>506811.4</v>
      </c>
      <c r="E2241" s="331">
        <v>255938.91</v>
      </c>
      <c r="F2241" s="479">
        <v>200</v>
      </c>
      <c r="G2241" s="589">
        <v>250672.49</v>
      </c>
    </row>
    <row r="2242" spans="3:7" x14ac:dyDescent="0.2">
      <c r="C2242" s="807">
        <v>45481</v>
      </c>
      <c r="D2242" s="331">
        <f t="shared" si="28"/>
        <v>506811.4</v>
      </c>
      <c r="E2242" s="331">
        <f>E2241</f>
        <v>255938.91</v>
      </c>
      <c r="F2242" s="479">
        <v>200</v>
      </c>
      <c r="G2242" s="589">
        <v>250672.49</v>
      </c>
    </row>
    <row r="2243" spans="3:7" x14ac:dyDescent="0.2">
      <c r="C2243" s="807">
        <v>45482</v>
      </c>
      <c r="D2243" s="331">
        <f t="shared" si="28"/>
        <v>507710.06</v>
      </c>
      <c r="E2243" s="331">
        <v>256837.57</v>
      </c>
      <c r="F2243" s="479">
        <v>200</v>
      </c>
      <c r="G2243" s="589">
        <v>250672.49</v>
      </c>
    </row>
    <row r="2244" spans="3:7" x14ac:dyDescent="0.2">
      <c r="C2244" s="807">
        <v>45483</v>
      </c>
      <c r="D2244" s="331">
        <f t="shared" si="28"/>
        <v>507810.06</v>
      </c>
      <c r="E2244" s="331">
        <v>256937.57</v>
      </c>
      <c r="F2244" s="479">
        <v>200</v>
      </c>
      <c r="G2244" s="589">
        <v>250672.49</v>
      </c>
    </row>
    <row r="2245" spans="3:7" x14ac:dyDescent="0.2">
      <c r="C2245" s="807">
        <v>45484</v>
      </c>
      <c r="D2245" s="331">
        <f t="shared" si="28"/>
        <v>507906.56</v>
      </c>
      <c r="E2245" s="331">
        <v>257034.07</v>
      </c>
      <c r="F2245" s="479">
        <v>200</v>
      </c>
      <c r="G2245" s="589">
        <v>250672.49</v>
      </c>
    </row>
    <row r="2246" spans="3:7" x14ac:dyDescent="0.2">
      <c r="C2246" s="807">
        <v>45485</v>
      </c>
      <c r="D2246" s="331">
        <f t="shared" si="28"/>
        <v>508693.88</v>
      </c>
      <c r="E2246" s="331">
        <v>257821.39</v>
      </c>
      <c r="F2246" s="479">
        <v>200</v>
      </c>
      <c r="G2246" s="589">
        <v>250672.49</v>
      </c>
    </row>
    <row r="2247" spans="3:7" x14ac:dyDescent="0.2">
      <c r="C2247" s="807">
        <v>45488</v>
      </c>
      <c r="D2247" s="331">
        <f t="shared" si="28"/>
        <v>509039.89</v>
      </c>
      <c r="E2247" s="331">
        <v>258167.4</v>
      </c>
      <c r="F2247" s="479">
        <v>200</v>
      </c>
      <c r="G2247" s="589">
        <v>250672.49</v>
      </c>
    </row>
    <row r="2248" spans="3:7" x14ac:dyDescent="0.2">
      <c r="C2248" s="807">
        <v>45489</v>
      </c>
      <c r="D2248" s="331">
        <f t="shared" si="28"/>
        <v>480741.11</v>
      </c>
      <c r="E2248" s="331">
        <v>229868.62</v>
      </c>
      <c r="F2248" s="479">
        <v>200</v>
      </c>
      <c r="G2248" s="589">
        <v>250672.49</v>
      </c>
    </row>
    <row r="2249" spans="3:7" x14ac:dyDescent="0.2">
      <c r="C2249" s="807">
        <v>45490</v>
      </c>
      <c r="D2249" s="331">
        <f t="shared" si="28"/>
        <v>492793.56999999995</v>
      </c>
      <c r="E2249" s="331">
        <v>241921.08</v>
      </c>
      <c r="F2249" s="479">
        <v>200</v>
      </c>
      <c r="G2249" s="589">
        <v>250672.49</v>
      </c>
    </row>
    <row r="2250" spans="3:7" x14ac:dyDescent="0.2">
      <c r="C2250" s="807">
        <v>45491</v>
      </c>
      <c r="D2250" s="331">
        <f t="shared" si="28"/>
        <v>490184.68</v>
      </c>
      <c r="E2250" s="331">
        <v>239312.19</v>
      </c>
      <c r="F2250" s="479">
        <v>200</v>
      </c>
      <c r="G2250" s="589">
        <v>250672.49</v>
      </c>
    </row>
    <row r="2251" spans="3:7" x14ac:dyDescent="0.2">
      <c r="C2251" s="807">
        <v>45492</v>
      </c>
      <c r="D2251" s="331">
        <f t="shared" si="28"/>
        <v>490825.35</v>
      </c>
      <c r="E2251" s="331">
        <v>239952.86</v>
      </c>
      <c r="F2251" s="479">
        <v>200</v>
      </c>
      <c r="G2251" s="589">
        <v>250672.49</v>
      </c>
    </row>
    <row r="2252" spans="3:7" x14ac:dyDescent="0.2">
      <c r="C2252" s="807">
        <v>45495</v>
      </c>
      <c r="D2252" s="331">
        <f t="shared" si="28"/>
        <v>487953.12</v>
      </c>
      <c r="E2252" s="331">
        <v>237080.63</v>
      </c>
      <c r="F2252" s="479">
        <v>200</v>
      </c>
      <c r="G2252" s="589">
        <v>250672.49</v>
      </c>
    </row>
    <row r="2253" spans="3:7" x14ac:dyDescent="0.2">
      <c r="C2253" s="807">
        <v>45496</v>
      </c>
      <c r="D2253" s="331">
        <f t="shared" si="28"/>
        <v>488049.62</v>
      </c>
      <c r="E2253" s="331">
        <v>237177.13</v>
      </c>
      <c r="F2253" s="479">
        <v>200</v>
      </c>
      <c r="G2253" s="589">
        <v>250672.49</v>
      </c>
    </row>
    <row r="2254" spans="3:7" x14ac:dyDescent="0.2">
      <c r="C2254" s="807">
        <v>45497</v>
      </c>
      <c r="D2254" s="331">
        <f t="shared" si="28"/>
        <v>488084.28</v>
      </c>
      <c r="E2254" s="331">
        <v>237211.79</v>
      </c>
      <c r="F2254" s="479">
        <v>200</v>
      </c>
      <c r="G2254" s="589">
        <v>250672.49</v>
      </c>
    </row>
    <row r="2255" spans="3:7" x14ac:dyDescent="0.2">
      <c r="C2255" s="807">
        <v>45498</v>
      </c>
      <c r="D2255" s="331">
        <f t="shared" si="28"/>
        <v>489260.69</v>
      </c>
      <c r="E2255" s="331">
        <v>238388.2</v>
      </c>
      <c r="F2255" s="479">
        <v>200</v>
      </c>
      <c r="G2255" s="589">
        <v>250672.49</v>
      </c>
    </row>
    <row r="2256" spans="3:7" x14ac:dyDescent="0.2">
      <c r="C2256" s="807">
        <v>45499</v>
      </c>
      <c r="D2256" s="331">
        <f t="shared" si="28"/>
        <v>487504.65</v>
      </c>
      <c r="E2256" s="331">
        <v>236632.16</v>
      </c>
      <c r="F2256" s="479">
        <v>200</v>
      </c>
      <c r="G2256" s="589">
        <v>250672.49</v>
      </c>
    </row>
    <row r="2257" spans="3:7" x14ac:dyDescent="0.2">
      <c r="C2257" s="807">
        <v>45502</v>
      </c>
      <c r="D2257" s="331">
        <f t="shared" si="28"/>
        <v>493139.31</v>
      </c>
      <c r="E2257" s="331">
        <v>242266.82</v>
      </c>
      <c r="F2257" s="479">
        <v>200</v>
      </c>
      <c r="G2257" s="589">
        <v>250672.49</v>
      </c>
    </row>
    <row r="2258" spans="3:7" x14ac:dyDescent="0.2">
      <c r="C2258" s="807">
        <v>45503</v>
      </c>
      <c r="D2258" s="331">
        <f t="shared" si="28"/>
        <v>460235.4</v>
      </c>
      <c r="E2258" s="331">
        <v>209362.91</v>
      </c>
      <c r="F2258" s="479">
        <v>200</v>
      </c>
      <c r="G2258" s="589">
        <v>250672.49</v>
      </c>
    </row>
    <row r="2259" spans="3:7" x14ac:dyDescent="0.2">
      <c r="C2259" s="807">
        <v>45504</v>
      </c>
      <c r="D2259" s="331">
        <f t="shared" si="28"/>
        <v>461284.12</v>
      </c>
      <c r="E2259" s="331">
        <v>209575.23</v>
      </c>
      <c r="F2259" s="479">
        <v>200</v>
      </c>
      <c r="G2259" s="589">
        <v>251508.89</v>
      </c>
    </row>
    <row r="2260" spans="3:7" x14ac:dyDescent="0.2">
      <c r="C2260" s="807">
        <v>45505</v>
      </c>
      <c r="D2260" s="331">
        <f t="shared" si="28"/>
        <v>459321.21</v>
      </c>
      <c r="E2260" s="331">
        <v>207612.32</v>
      </c>
      <c r="F2260" s="479">
        <v>200</v>
      </c>
      <c r="G2260" s="589">
        <v>251508.89</v>
      </c>
    </row>
    <row r="2261" spans="3:7" x14ac:dyDescent="0.2">
      <c r="C2261" s="807">
        <v>45506</v>
      </c>
      <c r="D2261" s="331">
        <f t="shared" si="28"/>
        <v>457084.76</v>
      </c>
      <c r="E2261" s="331">
        <v>205375.87</v>
      </c>
      <c r="F2261" s="479">
        <v>200</v>
      </c>
      <c r="G2261" s="589">
        <v>251508.89</v>
      </c>
    </row>
    <row r="2262" spans="3:7" x14ac:dyDescent="0.2">
      <c r="C2262" s="807">
        <v>45509</v>
      </c>
      <c r="D2262" s="331">
        <f t="shared" si="28"/>
        <v>463766.42000000004</v>
      </c>
      <c r="E2262" s="331">
        <v>212057.53</v>
      </c>
      <c r="F2262" s="479">
        <v>200</v>
      </c>
      <c r="G2262" s="589">
        <v>251508.89</v>
      </c>
    </row>
    <row r="2263" spans="3:7" x14ac:dyDescent="0.2">
      <c r="C2263" s="807">
        <v>45510</v>
      </c>
      <c r="D2263" s="331">
        <f t="shared" si="28"/>
        <v>463766.42000000004</v>
      </c>
      <c r="E2263" s="331">
        <f>E2262</f>
        <v>212057.53</v>
      </c>
      <c r="F2263" s="479">
        <v>200</v>
      </c>
      <c r="G2263" s="589">
        <v>251508.89</v>
      </c>
    </row>
    <row r="2264" spans="3:7" x14ac:dyDescent="0.2">
      <c r="C2264" s="807">
        <v>45511</v>
      </c>
      <c r="D2264" s="331">
        <f t="shared" si="28"/>
        <v>469122.74</v>
      </c>
      <c r="E2264" s="331">
        <v>217413.85</v>
      </c>
      <c r="F2264" s="479">
        <v>200</v>
      </c>
      <c r="G2264" s="589">
        <v>251508.89</v>
      </c>
    </row>
    <row r="2265" spans="3:7" x14ac:dyDescent="0.2">
      <c r="C2265" s="807">
        <v>45512</v>
      </c>
      <c r="D2265" s="331">
        <f t="shared" si="28"/>
        <v>469122.74</v>
      </c>
      <c r="E2265" s="331">
        <f>E2264</f>
        <v>217413.85</v>
      </c>
      <c r="F2265" s="479">
        <v>200</v>
      </c>
      <c r="G2265" s="589">
        <v>251508.89</v>
      </c>
    </row>
    <row r="2266" spans="3:7" x14ac:dyDescent="0.2">
      <c r="C2266" s="807">
        <v>45513</v>
      </c>
      <c r="D2266" s="331">
        <f t="shared" si="28"/>
        <v>492677.1</v>
      </c>
      <c r="E2266" s="331">
        <v>240968.21</v>
      </c>
      <c r="F2266" s="479">
        <v>200</v>
      </c>
      <c r="G2266" s="589">
        <v>251508.89</v>
      </c>
    </row>
    <row r="2267" spans="3:7" x14ac:dyDescent="0.2">
      <c r="C2267" s="807">
        <v>45516</v>
      </c>
      <c r="D2267" s="331">
        <f t="shared" si="28"/>
        <v>471079.96</v>
      </c>
      <c r="E2267" s="331">
        <v>219371.07</v>
      </c>
      <c r="F2267" s="479">
        <v>200</v>
      </c>
      <c r="G2267" s="589">
        <v>251508.89</v>
      </c>
    </row>
    <row r="2268" spans="3:7" x14ac:dyDescent="0.2">
      <c r="C2268" s="807">
        <v>45517</v>
      </c>
      <c r="D2268" s="331">
        <f t="shared" si="28"/>
        <v>471079.96</v>
      </c>
      <c r="E2268" s="331">
        <f>E2267</f>
        <v>219371.07</v>
      </c>
      <c r="F2268" s="479">
        <v>200</v>
      </c>
      <c r="G2268" s="589">
        <v>251508.89</v>
      </c>
    </row>
    <row r="2269" spans="3:7" x14ac:dyDescent="0.2">
      <c r="C2269" s="807">
        <v>45518</v>
      </c>
      <c r="D2269" s="331">
        <f t="shared" si="28"/>
        <v>441990.52</v>
      </c>
      <c r="E2269" s="331">
        <v>190281.63</v>
      </c>
      <c r="F2269" s="479">
        <v>200</v>
      </c>
      <c r="G2269" s="589">
        <v>251508.89</v>
      </c>
    </row>
    <row r="2270" spans="3:7" x14ac:dyDescent="0.2">
      <c r="C2270" s="807">
        <v>45519</v>
      </c>
      <c r="D2270" s="331">
        <f t="shared" si="28"/>
        <v>442836.98</v>
      </c>
      <c r="E2270" s="331">
        <v>191128.09</v>
      </c>
      <c r="F2270" s="479">
        <v>200</v>
      </c>
      <c r="G2270" s="589">
        <v>251508.89</v>
      </c>
    </row>
    <row r="2271" spans="3:7" x14ac:dyDescent="0.2">
      <c r="C2271" s="807">
        <v>45520</v>
      </c>
      <c r="D2271" s="331">
        <f t="shared" si="28"/>
        <v>442485.95</v>
      </c>
      <c r="E2271" s="331">
        <v>190777.06</v>
      </c>
      <c r="F2271" s="479">
        <v>200</v>
      </c>
      <c r="G2271" s="589">
        <v>251508.89</v>
      </c>
    </row>
    <row r="2272" spans="3:7" x14ac:dyDescent="0.2">
      <c r="C2272" s="807">
        <v>45523</v>
      </c>
      <c r="D2272" s="331">
        <f t="shared" si="28"/>
        <v>433080.95</v>
      </c>
      <c r="E2272" s="331">
        <v>181372.06</v>
      </c>
      <c r="F2272" s="479">
        <v>200</v>
      </c>
      <c r="G2272" s="589">
        <v>251508.89</v>
      </c>
    </row>
    <row r="2273" spans="3:7" x14ac:dyDescent="0.2">
      <c r="C2273" s="807">
        <v>45524</v>
      </c>
      <c r="D2273" s="331">
        <f t="shared" si="28"/>
        <v>430333.06000000006</v>
      </c>
      <c r="E2273" s="331">
        <v>178624.17</v>
      </c>
      <c r="F2273" s="479">
        <v>200</v>
      </c>
      <c r="G2273" s="589">
        <v>251508.89</v>
      </c>
    </row>
    <row r="2274" spans="3:7" x14ac:dyDescent="0.2">
      <c r="C2274" s="807">
        <v>45525</v>
      </c>
      <c r="D2274" s="331">
        <f t="shared" si="28"/>
        <v>427774.19</v>
      </c>
      <c r="E2274" s="331">
        <v>176065.3</v>
      </c>
      <c r="F2274" s="479">
        <v>200</v>
      </c>
      <c r="G2274" s="589">
        <v>251508.89</v>
      </c>
    </row>
    <row r="2275" spans="3:7" x14ac:dyDescent="0.2">
      <c r="C2275" s="807">
        <v>45526</v>
      </c>
      <c r="D2275" s="331">
        <f t="shared" si="28"/>
        <v>444122.88</v>
      </c>
      <c r="E2275" s="331">
        <v>192413.99</v>
      </c>
      <c r="F2275" s="479">
        <v>200</v>
      </c>
      <c r="G2275" s="589">
        <v>251508.89</v>
      </c>
    </row>
    <row r="2276" spans="3:7" x14ac:dyDescent="0.2">
      <c r="C2276" s="807">
        <v>45527</v>
      </c>
      <c r="D2276" s="331">
        <f t="shared" si="28"/>
        <v>444122.88</v>
      </c>
      <c r="E2276" s="331">
        <f>E2275</f>
        <v>192413.99</v>
      </c>
      <c r="F2276" s="479">
        <v>200</v>
      </c>
      <c r="G2276" s="589">
        <v>251508.89</v>
      </c>
    </row>
    <row r="2277" spans="3:7" x14ac:dyDescent="0.2">
      <c r="C2277" s="807">
        <v>45530</v>
      </c>
      <c r="D2277" s="331">
        <f t="shared" si="28"/>
        <v>444122.88</v>
      </c>
      <c r="E2277" s="331">
        <f>E2276</f>
        <v>192413.99</v>
      </c>
      <c r="F2277" s="479">
        <v>200</v>
      </c>
      <c r="G2277" s="589">
        <v>251508.89</v>
      </c>
    </row>
    <row r="2278" spans="3:7" x14ac:dyDescent="0.2">
      <c r="C2278" s="807">
        <v>45531</v>
      </c>
      <c r="D2278" s="331">
        <f t="shared" si="28"/>
        <v>444092.01</v>
      </c>
      <c r="E2278" s="331">
        <v>192383.12</v>
      </c>
      <c r="F2278" s="479">
        <v>200</v>
      </c>
      <c r="G2278" s="589">
        <v>251508.89</v>
      </c>
    </row>
    <row r="2279" spans="3:7" x14ac:dyDescent="0.2">
      <c r="C2279" s="807">
        <v>45532</v>
      </c>
      <c r="D2279" s="331">
        <f t="shared" si="28"/>
        <v>409823.26</v>
      </c>
      <c r="E2279" s="331">
        <v>158114.37</v>
      </c>
      <c r="F2279" s="479">
        <v>200</v>
      </c>
      <c r="G2279" s="589">
        <v>251508.89</v>
      </c>
    </row>
    <row r="2280" spans="3:7" x14ac:dyDescent="0.2">
      <c r="C2280" s="807">
        <v>45533</v>
      </c>
      <c r="D2280" s="331">
        <f t="shared" si="28"/>
        <v>409823.26</v>
      </c>
      <c r="E2280" s="331">
        <f>E2279</f>
        <v>158114.37</v>
      </c>
      <c r="F2280" s="479">
        <v>200</v>
      </c>
      <c r="G2280" s="589">
        <v>251508.89</v>
      </c>
    </row>
    <row r="2281" spans="3:7" x14ac:dyDescent="0.2">
      <c r="C2281" s="807">
        <v>45534</v>
      </c>
      <c r="D2281" s="331">
        <f t="shared" si="28"/>
        <v>431469.19</v>
      </c>
      <c r="E2281" s="331">
        <v>178921.1</v>
      </c>
      <c r="F2281" s="479">
        <v>200</v>
      </c>
      <c r="G2281" s="589">
        <v>252348.09</v>
      </c>
    </row>
    <row r="2282" spans="3:7" x14ac:dyDescent="0.2">
      <c r="C2282" s="807">
        <v>45537</v>
      </c>
      <c r="D2282" s="331">
        <f t="shared" si="28"/>
        <v>431469.19</v>
      </c>
      <c r="E2282" s="331">
        <v>178921.1</v>
      </c>
      <c r="F2282" s="479">
        <v>200</v>
      </c>
      <c r="G2282" s="589">
        <v>252348.09</v>
      </c>
    </row>
    <row r="2283" spans="3:7" x14ac:dyDescent="0.2">
      <c r="C2283" s="807">
        <v>45538</v>
      </c>
      <c r="D2283" s="331">
        <f t="shared" si="28"/>
        <v>431469.19</v>
      </c>
      <c r="E2283" s="331">
        <v>178921.1</v>
      </c>
      <c r="F2283" s="479">
        <v>200</v>
      </c>
      <c r="G2283" s="589">
        <v>252348.09</v>
      </c>
    </row>
    <row r="2284" spans="3:7" x14ac:dyDescent="0.2">
      <c r="C2284" s="807">
        <v>45539</v>
      </c>
      <c r="D2284" s="331">
        <f t="shared" si="28"/>
        <v>431469.19</v>
      </c>
      <c r="E2284" s="331">
        <v>178921.1</v>
      </c>
      <c r="F2284" s="479">
        <v>200</v>
      </c>
      <c r="G2284" s="589">
        <v>252348.09</v>
      </c>
    </row>
    <row r="2285" spans="3:7" x14ac:dyDescent="0.2">
      <c r="C2285" s="807">
        <v>45540</v>
      </c>
      <c r="D2285" s="331">
        <f t="shared" si="28"/>
        <v>431182.22</v>
      </c>
      <c r="E2285" s="331">
        <v>178634.13</v>
      </c>
      <c r="F2285" s="479">
        <v>200</v>
      </c>
      <c r="G2285" s="589">
        <v>252348.09</v>
      </c>
    </row>
    <row r="2286" spans="3:7" x14ac:dyDescent="0.2">
      <c r="C2286" s="807">
        <v>45541</v>
      </c>
      <c r="D2286" s="331">
        <f t="shared" ref="D2286:D2316" si="29">E2286+F2286+G2286</f>
        <v>431060.93</v>
      </c>
      <c r="E2286" s="331">
        <v>178512.84</v>
      </c>
      <c r="F2286" s="479">
        <v>200</v>
      </c>
      <c r="G2286" s="589">
        <f t="shared" ref="G2286:G2291" si="30">G2285</f>
        <v>252348.09</v>
      </c>
    </row>
    <row r="2287" spans="3:7" x14ac:dyDescent="0.2">
      <c r="C2287" s="807">
        <v>45544</v>
      </c>
      <c r="D2287" s="331">
        <f t="shared" si="29"/>
        <v>431037.93</v>
      </c>
      <c r="E2287" s="331">
        <v>178489.84</v>
      </c>
      <c r="F2287" s="479">
        <v>200</v>
      </c>
      <c r="G2287" s="589">
        <f t="shared" si="30"/>
        <v>252348.09</v>
      </c>
    </row>
    <row r="2288" spans="3:7" x14ac:dyDescent="0.2">
      <c r="C2288" s="807">
        <v>45545</v>
      </c>
      <c r="D2288" s="331">
        <f t="shared" si="29"/>
        <v>394761.57</v>
      </c>
      <c r="E2288" s="331">
        <v>142213.48000000001</v>
      </c>
      <c r="F2288" s="479">
        <v>200</v>
      </c>
      <c r="G2288" s="589">
        <f t="shared" si="30"/>
        <v>252348.09</v>
      </c>
    </row>
    <row r="2289" spans="3:8" x14ac:dyDescent="0.2">
      <c r="C2289" s="807">
        <v>45546</v>
      </c>
      <c r="D2289" s="331">
        <f t="shared" si="29"/>
        <v>394761.57</v>
      </c>
      <c r="E2289" s="331">
        <v>142213.48000000001</v>
      </c>
      <c r="F2289" s="479">
        <v>200</v>
      </c>
      <c r="G2289" s="589">
        <f t="shared" si="30"/>
        <v>252348.09</v>
      </c>
    </row>
    <row r="2290" spans="3:8" x14ac:dyDescent="0.2">
      <c r="C2290" s="807">
        <v>45547</v>
      </c>
      <c r="D2290" s="331">
        <f t="shared" si="29"/>
        <v>388573.93</v>
      </c>
      <c r="E2290" s="331">
        <v>136025.84</v>
      </c>
      <c r="F2290" s="479">
        <v>200</v>
      </c>
      <c r="G2290" s="589">
        <f t="shared" si="30"/>
        <v>252348.09</v>
      </c>
    </row>
    <row r="2291" spans="3:8" x14ac:dyDescent="0.2">
      <c r="C2291" s="807">
        <v>45548</v>
      </c>
      <c r="D2291" s="331">
        <f t="shared" si="29"/>
        <v>388238.18</v>
      </c>
      <c r="E2291" s="331">
        <v>135690.09</v>
      </c>
      <c r="F2291" s="479">
        <v>200</v>
      </c>
      <c r="G2291" s="589">
        <f t="shared" si="30"/>
        <v>252348.09</v>
      </c>
    </row>
    <row r="2292" spans="3:8" x14ac:dyDescent="0.2">
      <c r="C2292" s="807">
        <v>45551</v>
      </c>
      <c r="D2292" s="331">
        <f t="shared" si="29"/>
        <v>388662.43</v>
      </c>
      <c r="E2292" s="331">
        <v>136114.34</v>
      </c>
      <c r="F2292" s="479">
        <v>200</v>
      </c>
      <c r="G2292" s="589">
        <v>252348.09</v>
      </c>
    </row>
    <row r="2293" spans="3:8" x14ac:dyDescent="0.2">
      <c r="C2293" s="807">
        <v>45552</v>
      </c>
      <c r="D2293" s="331">
        <f t="shared" si="29"/>
        <v>388662.43</v>
      </c>
      <c r="E2293" s="331">
        <v>136114.34</v>
      </c>
      <c r="F2293" s="479">
        <v>200</v>
      </c>
      <c r="G2293" s="589">
        <v>252348.09</v>
      </c>
    </row>
    <row r="2294" spans="3:8" x14ac:dyDescent="0.2">
      <c r="C2294" s="807">
        <v>45553</v>
      </c>
      <c r="D2294" s="331">
        <f t="shared" si="29"/>
        <v>391543.06999999995</v>
      </c>
      <c r="E2294" s="331">
        <v>138938.23999999999</v>
      </c>
      <c r="F2294" s="479">
        <v>256.74</v>
      </c>
      <c r="G2294" s="589">
        <v>252348.09</v>
      </c>
    </row>
    <row r="2295" spans="3:8" x14ac:dyDescent="0.2">
      <c r="C2295" s="807">
        <v>45554</v>
      </c>
      <c r="D2295" s="331">
        <f t="shared" si="29"/>
        <v>391543.06999999995</v>
      </c>
      <c r="E2295" s="331">
        <v>138938.23999999999</v>
      </c>
      <c r="F2295" s="479">
        <v>256.74</v>
      </c>
      <c r="G2295" s="589">
        <v>252348.09</v>
      </c>
    </row>
    <row r="2296" spans="3:8" x14ac:dyDescent="0.2">
      <c r="C2296" s="807">
        <v>45555</v>
      </c>
      <c r="D2296" s="331">
        <f t="shared" si="29"/>
        <v>388625.43</v>
      </c>
      <c r="E2296" s="331">
        <v>136020.34</v>
      </c>
      <c r="F2296" s="479">
        <v>257</v>
      </c>
      <c r="G2296" s="589">
        <v>252348.09</v>
      </c>
    </row>
    <row r="2297" spans="3:8" x14ac:dyDescent="0.2">
      <c r="C2297" s="807">
        <v>45558</v>
      </c>
      <c r="D2297" s="331">
        <f t="shared" si="29"/>
        <v>374995.87</v>
      </c>
      <c r="E2297" s="331">
        <v>122390.78</v>
      </c>
      <c r="F2297" s="479">
        <v>257</v>
      </c>
      <c r="G2297" s="589">
        <v>252348.09</v>
      </c>
    </row>
    <row r="2298" spans="3:8" x14ac:dyDescent="0.2">
      <c r="C2298" s="807">
        <v>45559</v>
      </c>
      <c r="D2298" s="331">
        <f t="shared" si="29"/>
        <v>333017.51</v>
      </c>
      <c r="E2298" s="331">
        <v>80469.42</v>
      </c>
      <c r="F2298" s="479">
        <v>200</v>
      </c>
      <c r="G2298" s="589">
        <v>252348.09</v>
      </c>
    </row>
    <row r="2299" spans="3:8" x14ac:dyDescent="0.2">
      <c r="C2299" s="807">
        <v>45560</v>
      </c>
      <c r="D2299" s="331">
        <f t="shared" si="29"/>
        <v>414568.4</v>
      </c>
      <c r="E2299" s="617">
        <v>160905.13</v>
      </c>
      <c r="F2299" s="479">
        <v>200</v>
      </c>
      <c r="G2299" s="589">
        <v>253463.27</v>
      </c>
      <c r="H2299" s="5"/>
    </row>
    <row r="2300" spans="3:8" x14ac:dyDescent="0.2">
      <c r="C2300" s="807">
        <v>45561</v>
      </c>
      <c r="D2300" s="331">
        <f t="shared" si="29"/>
        <v>437525.93</v>
      </c>
      <c r="E2300" s="617">
        <f>182688.79+1173.87</f>
        <v>183862.66</v>
      </c>
      <c r="F2300" s="479">
        <v>200</v>
      </c>
      <c r="G2300" s="589">
        <v>253463.27</v>
      </c>
    </row>
    <row r="2301" spans="3:8" x14ac:dyDescent="0.2">
      <c r="C2301" s="807">
        <v>45562</v>
      </c>
      <c r="D2301" s="331">
        <f t="shared" si="29"/>
        <v>457237.56999999995</v>
      </c>
      <c r="E2301" s="617">
        <f>202558.53+1015.77</f>
        <v>203574.3</v>
      </c>
      <c r="F2301" s="479">
        <v>200</v>
      </c>
      <c r="G2301" s="589">
        <v>253463.27</v>
      </c>
    </row>
    <row r="2302" spans="3:8" x14ac:dyDescent="0.2">
      <c r="C2302" s="807">
        <v>45565</v>
      </c>
      <c r="D2302" s="331">
        <f t="shared" si="29"/>
        <v>457237.56999999995</v>
      </c>
      <c r="E2302" s="617">
        <f>202558.53+1015.77</f>
        <v>203574.3</v>
      </c>
      <c r="F2302" s="479">
        <v>200</v>
      </c>
      <c r="G2302" s="589">
        <v>253463.27</v>
      </c>
    </row>
    <row r="2303" spans="3:8" x14ac:dyDescent="0.2">
      <c r="C2303" s="807">
        <v>45566</v>
      </c>
      <c r="D2303" s="331">
        <f t="shared" si="29"/>
        <v>457237.56999999995</v>
      </c>
      <c r="E2303" s="617">
        <f>202558.53+1015.77</f>
        <v>203574.3</v>
      </c>
      <c r="F2303" s="479">
        <v>200</v>
      </c>
      <c r="G2303" s="589">
        <v>253463.27</v>
      </c>
    </row>
    <row r="2304" spans="3:8" x14ac:dyDescent="0.2">
      <c r="C2304" s="807">
        <v>45567</v>
      </c>
      <c r="D2304" s="331">
        <f t="shared" si="29"/>
        <v>457237.56999999995</v>
      </c>
      <c r="E2304" s="617">
        <f>202558.53+1015.77</f>
        <v>203574.3</v>
      </c>
      <c r="F2304" s="479">
        <v>200</v>
      </c>
      <c r="G2304" s="589">
        <v>253463.27</v>
      </c>
    </row>
    <row r="2305" spans="3:8" x14ac:dyDescent="0.2">
      <c r="C2305" s="807">
        <v>45568</v>
      </c>
      <c r="D2305" s="331">
        <f t="shared" si="29"/>
        <v>442624.92</v>
      </c>
      <c r="E2305" s="617">
        <f>1015.77+187945.88</f>
        <v>188961.65</v>
      </c>
      <c r="F2305" s="479">
        <v>200</v>
      </c>
      <c r="G2305" s="589">
        <v>253463.27</v>
      </c>
    </row>
    <row r="2306" spans="3:8" x14ac:dyDescent="0.2">
      <c r="C2306" s="807">
        <v>45569</v>
      </c>
      <c r="D2306" s="331">
        <f t="shared" si="29"/>
        <v>446053.83999999997</v>
      </c>
      <c r="E2306" s="617">
        <f>1015.77+191374.8</f>
        <v>192390.56999999998</v>
      </c>
      <c r="F2306" s="479">
        <v>200</v>
      </c>
      <c r="G2306" s="589">
        <v>253463.27</v>
      </c>
    </row>
    <row r="2307" spans="3:8" x14ac:dyDescent="0.2">
      <c r="C2307" s="807">
        <v>45572</v>
      </c>
      <c r="D2307" s="331">
        <f t="shared" si="29"/>
        <v>478705.81999999995</v>
      </c>
      <c r="E2307" s="617">
        <f>1015.77+224026.78</f>
        <v>225042.55</v>
      </c>
      <c r="F2307" s="479">
        <v>200</v>
      </c>
      <c r="G2307" s="589">
        <v>253463.27</v>
      </c>
    </row>
    <row r="2308" spans="3:8" x14ac:dyDescent="0.2">
      <c r="C2308" s="807">
        <v>45573</v>
      </c>
      <c r="D2308" s="331">
        <f t="shared" si="29"/>
        <v>478705.81999999995</v>
      </c>
      <c r="E2308" s="617">
        <f>1015.77+224026.78</f>
        <v>225042.55</v>
      </c>
      <c r="F2308" s="479">
        <v>200</v>
      </c>
      <c r="G2308" s="589">
        <v>253463.27</v>
      </c>
    </row>
    <row r="2309" spans="3:8" x14ac:dyDescent="0.2">
      <c r="C2309" s="807">
        <v>45574</v>
      </c>
      <c r="D2309" s="331">
        <f t="shared" si="29"/>
        <v>448233.27</v>
      </c>
      <c r="E2309" s="617">
        <f>12484.9+182085.1</f>
        <v>194570</v>
      </c>
      <c r="F2309" s="479">
        <v>200</v>
      </c>
      <c r="G2309" s="589">
        <v>253463.27</v>
      </c>
    </row>
    <row r="2310" spans="3:8" x14ac:dyDescent="0.2">
      <c r="C2310" s="807">
        <v>45575</v>
      </c>
      <c r="D2310" s="331">
        <f t="shared" si="29"/>
        <v>436933.37</v>
      </c>
      <c r="E2310" s="617">
        <f>180218.13+3051.97</f>
        <v>183270.1</v>
      </c>
      <c r="F2310" s="479">
        <v>200</v>
      </c>
      <c r="G2310" s="589">
        <v>253463.27</v>
      </c>
    </row>
    <row r="2311" spans="3:8" x14ac:dyDescent="0.2">
      <c r="C2311" s="807">
        <v>45576</v>
      </c>
      <c r="D2311" s="331">
        <f t="shared" si="29"/>
        <v>444705.66000000003</v>
      </c>
      <c r="E2311" s="617">
        <f>187990.42+3051.97</f>
        <v>191042.39</v>
      </c>
      <c r="F2311" s="479">
        <v>200</v>
      </c>
      <c r="G2311" s="589">
        <v>253463.27</v>
      </c>
    </row>
    <row r="2312" spans="3:8" x14ac:dyDescent="0.2">
      <c r="C2312" s="807">
        <v>45579</v>
      </c>
      <c r="D2312" s="331">
        <f t="shared" si="29"/>
        <v>444705.66000000003</v>
      </c>
      <c r="E2312" s="617">
        <f>187990.42+3051.97</f>
        <v>191042.39</v>
      </c>
      <c r="F2312" s="479">
        <v>200</v>
      </c>
      <c r="G2312" s="589">
        <v>253463.27</v>
      </c>
    </row>
    <row r="2313" spans="3:8" x14ac:dyDescent="0.2">
      <c r="C2313" s="807">
        <v>45580</v>
      </c>
      <c r="D2313" s="331">
        <f t="shared" si="29"/>
        <v>445064.27</v>
      </c>
      <c r="E2313" s="617">
        <f>188348.85+3052.15</f>
        <v>191401</v>
      </c>
      <c r="F2313" s="479">
        <v>200</v>
      </c>
      <c r="G2313" s="589">
        <v>253463.27</v>
      </c>
    </row>
    <row r="2314" spans="3:8" x14ac:dyDescent="0.2">
      <c r="C2314" s="807">
        <v>45581</v>
      </c>
      <c r="D2314" s="331">
        <f t="shared" si="29"/>
        <v>442674.36</v>
      </c>
      <c r="E2314" s="617">
        <f>188443.66+567.43</f>
        <v>189011.09</v>
      </c>
      <c r="F2314" s="479">
        <v>200</v>
      </c>
      <c r="G2314" s="589">
        <v>253463.27</v>
      </c>
    </row>
    <row r="2315" spans="3:8" x14ac:dyDescent="0.2">
      <c r="C2315" s="807">
        <v>45582</v>
      </c>
      <c r="D2315" s="331">
        <f t="shared" si="29"/>
        <v>441972.80999999994</v>
      </c>
      <c r="E2315" s="617">
        <f>187742.11+567.43</f>
        <v>188309.53999999998</v>
      </c>
      <c r="F2315" s="479">
        <v>200</v>
      </c>
      <c r="G2315" s="589">
        <v>253463.27</v>
      </c>
    </row>
    <row r="2316" spans="3:8" x14ac:dyDescent="0.2">
      <c r="C2316" s="807">
        <v>45583</v>
      </c>
      <c r="D2316" s="331">
        <f t="shared" si="29"/>
        <v>464390.05999999994</v>
      </c>
      <c r="E2316" s="617">
        <f>567.43+210159.36</f>
        <v>210726.78999999998</v>
      </c>
      <c r="F2316" s="479">
        <v>200</v>
      </c>
      <c r="G2316" s="589">
        <v>253463.27</v>
      </c>
    </row>
    <row r="2317" spans="3:8" x14ac:dyDescent="0.2">
      <c r="C2317" s="807">
        <v>45586</v>
      </c>
      <c r="D2317" s="331">
        <f t="shared" ref="D2317:D2325" si="31">E2317+F2317+G2317+H2317</f>
        <v>461412.17</v>
      </c>
      <c r="E2317" s="617">
        <v>207181.47</v>
      </c>
      <c r="F2317" s="479">
        <v>200</v>
      </c>
      <c r="G2317" s="589">
        <v>253463.27</v>
      </c>
      <c r="H2317">
        <v>567.42999999999995</v>
      </c>
    </row>
    <row r="2318" spans="3:8" x14ac:dyDescent="0.2">
      <c r="C2318" s="807">
        <v>45587</v>
      </c>
      <c r="D2318" s="331">
        <f t="shared" si="31"/>
        <v>461412.17</v>
      </c>
      <c r="E2318" s="617">
        <v>166719.73000000001</v>
      </c>
      <c r="F2318" s="479">
        <v>200</v>
      </c>
      <c r="G2318" s="589">
        <v>253463.27</v>
      </c>
      <c r="H2318">
        <v>41029.17</v>
      </c>
    </row>
    <row r="2319" spans="3:8" x14ac:dyDescent="0.2">
      <c r="C2319" s="807">
        <v>45588</v>
      </c>
      <c r="D2319" s="331">
        <f t="shared" si="31"/>
        <v>433498.27</v>
      </c>
      <c r="E2319" s="617">
        <v>166719.73000000001</v>
      </c>
      <c r="F2319" s="479">
        <v>200</v>
      </c>
      <c r="G2319" s="589">
        <v>253463.27</v>
      </c>
      <c r="H2319">
        <v>13115.27</v>
      </c>
    </row>
    <row r="2320" spans="3:8" x14ac:dyDescent="0.2">
      <c r="C2320" s="807">
        <v>45589</v>
      </c>
      <c r="D2320" s="331">
        <f t="shared" si="31"/>
        <v>424959.11000000004</v>
      </c>
      <c r="E2320" s="617">
        <v>169438.01</v>
      </c>
      <c r="F2320" s="479">
        <v>200</v>
      </c>
      <c r="G2320" s="589">
        <v>253463.27</v>
      </c>
      <c r="H2320">
        <v>1857.83</v>
      </c>
    </row>
    <row r="2321" spans="3:8" x14ac:dyDescent="0.2">
      <c r="C2321" s="807">
        <v>45590</v>
      </c>
      <c r="D2321" s="331">
        <f t="shared" si="31"/>
        <v>422950.28</v>
      </c>
      <c r="E2321" s="617">
        <v>169086.98</v>
      </c>
      <c r="F2321" s="479">
        <v>200</v>
      </c>
      <c r="G2321" s="589">
        <v>253463.27</v>
      </c>
      <c r="H2321">
        <v>200.03</v>
      </c>
    </row>
    <row r="2322" spans="3:8" x14ac:dyDescent="0.2">
      <c r="C2322" s="807">
        <v>45593</v>
      </c>
      <c r="D2322" s="331">
        <f t="shared" si="31"/>
        <v>422532.52</v>
      </c>
      <c r="E2322" s="617">
        <v>168669.22</v>
      </c>
      <c r="F2322" s="479">
        <v>200</v>
      </c>
      <c r="G2322" s="589">
        <v>253463.27</v>
      </c>
      <c r="H2322">
        <v>200.03</v>
      </c>
    </row>
    <row r="2323" spans="3:8" x14ac:dyDescent="0.2">
      <c r="C2323" s="807">
        <v>45594</v>
      </c>
      <c r="D2323" s="331">
        <f t="shared" si="31"/>
        <v>427127.58</v>
      </c>
      <c r="E2323" s="617">
        <v>173264.28</v>
      </c>
      <c r="F2323" s="479">
        <v>200</v>
      </c>
      <c r="G2323" s="589">
        <v>253463.27</v>
      </c>
      <c r="H2323">
        <v>200.03</v>
      </c>
    </row>
    <row r="2324" spans="3:8" x14ac:dyDescent="0.2">
      <c r="C2324" s="807">
        <f>C2323+1</f>
        <v>45595</v>
      </c>
      <c r="D2324" s="331">
        <f t="shared" si="31"/>
        <v>427127.58</v>
      </c>
      <c r="E2324" s="617">
        <v>173264.28</v>
      </c>
      <c r="F2324" s="479">
        <v>200</v>
      </c>
      <c r="G2324" s="589">
        <v>253463.27</v>
      </c>
      <c r="H2324">
        <v>200.03</v>
      </c>
    </row>
    <row r="2325" spans="3:8" x14ac:dyDescent="0.2">
      <c r="C2325" s="807">
        <f>C2324+1</f>
        <v>45596</v>
      </c>
      <c r="D2325" s="331">
        <f t="shared" si="31"/>
        <v>427953.19000000006</v>
      </c>
      <c r="E2325" s="617">
        <v>173264.28</v>
      </c>
      <c r="F2325" s="479">
        <v>200</v>
      </c>
      <c r="G2325" s="589">
        <v>254288.88</v>
      </c>
      <c r="H2325">
        <v>200.03</v>
      </c>
    </row>
    <row r="2326" spans="3:8" x14ac:dyDescent="0.2">
      <c r="C2326" s="807">
        <v>45597</v>
      </c>
      <c r="D2326" s="331">
        <f t="shared" ref="D2326:D2389" si="32">E2326+F2326+G2326</f>
        <v>426032.37</v>
      </c>
      <c r="E2326" s="617">
        <v>171543.49</v>
      </c>
      <c r="F2326" s="479">
        <v>200</v>
      </c>
      <c r="G2326" s="589">
        <v>254288.88</v>
      </c>
    </row>
    <row r="2327" spans="3:8" x14ac:dyDescent="0.2">
      <c r="C2327" s="807">
        <v>45601</v>
      </c>
      <c r="D2327" s="331">
        <f t="shared" si="32"/>
        <v>434744.04000000004</v>
      </c>
      <c r="E2327" s="617">
        <v>180255.16</v>
      </c>
      <c r="F2327" s="479">
        <v>200</v>
      </c>
      <c r="G2327" s="589">
        <v>254288.88</v>
      </c>
    </row>
    <row r="2328" spans="3:8" x14ac:dyDescent="0.2">
      <c r="C2328" s="807">
        <v>45601</v>
      </c>
      <c r="D2328" s="331">
        <f t="shared" si="32"/>
        <v>392415.65</v>
      </c>
      <c r="E2328" s="617">
        <v>137926.76999999999</v>
      </c>
      <c r="F2328" s="479">
        <v>200</v>
      </c>
      <c r="G2328" s="589">
        <v>254288.88</v>
      </c>
    </row>
    <row r="2329" spans="3:8" x14ac:dyDescent="0.2">
      <c r="C2329" s="807">
        <v>45602</v>
      </c>
      <c r="D2329" s="331">
        <f t="shared" si="32"/>
        <v>392392.65</v>
      </c>
      <c r="E2329" s="617">
        <v>137903.76999999999</v>
      </c>
      <c r="F2329" s="479">
        <v>200</v>
      </c>
      <c r="G2329" s="589">
        <v>254288.88</v>
      </c>
    </row>
    <row r="2330" spans="3:8" x14ac:dyDescent="0.2">
      <c r="C2330" s="807">
        <v>45603</v>
      </c>
      <c r="D2330" s="331">
        <f t="shared" si="32"/>
        <v>392281.77</v>
      </c>
      <c r="E2330" s="617">
        <v>137792.89000000001</v>
      </c>
      <c r="F2330" s="479">
        <v>200</v>
      </c>
      <c r="G2330" s="589">
        <v>254288.88</v>
      </c>
    </row>
    <row r="2331" spans="3:8" x14ac:dyDescent="0.2">
      <c r="C2331" s="807">
        <v>45603</v>
      </c>
      <c r="D2331" s="331">
        <f t="shared" si="32"/>
        <v>392073.77</v>
      </c>
      <c r="E2331" s="617">
        <v>137584.89000000001</v>
      </c>
      <c r="F2331" s="479">
        <v>200</v>
      </c>
      <c r="G2331" s="589">
        <v>254288.88</v>
      </c>
    </row>
    <row r="2332" spans="3:8" x14ac:dyDescent="0.2">
      <c r="C2332" s="807">
        <v>45603</v>
      </c>
      <c r="D2332" s="331">
        <f t="shared" si="32"/>
        <v>391781.77</v>
      </c>
      <c r="E2332" s="617">
        <v>137292.89000000001</v>
      </c>
      <c r="F2332" s="479">
        <v>200</v>
      </c>
      <c r="G2332" s="589">
        <v>254288.88</v>
      </c>
    </row>
    <row r="2333" spans="3:8" x14ac:dyDescent="0.2">
      <c r="C2333" s="807">
        <v>45603</v>
      </c>
      <c r="D2333" s="331">
        <f t="shared" si="32"/>
        <v>391706.76</v>
      </c>
      <c r="E2333" s="617">
        <v>137217.88</v>
      </c>
      <c r="F2333" s="479">
        <v>200</v>
      </c>
      <c r="G2333" s="589">
        <v>254288.88</v>
      </c>
    </row>
    <row r="2334" spans="3:8" x14ac:dyDescent="0.2">
      <c r="C2334" s="807">
        <v>45603</v>
      </c>
      <c r="D2334" s="331">
        <f t="shared" si="32"/>
        <v>391418.27</v>
      </c>
      <c r="E2334" s="617">
        <v>136929.39000000001</v>
      </c>
      <c r="F2334" s="479">
        <v>200</v>
      </c>
      <c r="G2334" s="589">
        <v>254288.88</v>
      </c>
    </row>
    <row r="2335" spans="3:8" x14ac:dyDescent="0.2">
      <c r="C2335" s="807">
        <v>45603</v>
      </c>
      <c r="D2335" s="331">
        <f t="shared" si="32"/>
        <v>391123.27</v>
      </c>
      <c r="E2335" s="617">
        <v>136634.39000000001</v>
      </c>
      <c r="F2335" s="479">
        <v>200</v>
      </c>
      <c r="G2335" s="589">
        <v>254288.88</v>
      </c>
    </row>
    <row r="2336" spans="3:8" x14ac:dyDescent="0.2">
      <c r="C2336" s="807">
        <v>45603</v>
      </c>
      <c r="D2336" s="331">
        <f t="shared" si="32"/>
        <v>391105.62</v>
      </c>
      <c r="E2336" s="617">
        <v>136616.74</v>
      </c>
      <c r="F2336" s="479">
        <v>200</v>
      </c>
      <c r="G2336" s="589">
        <v>254288.88</v>
      </c>
    </row>
    <row r="2337" spans="3:7" x14ac:dyDescent="0.2">
      <c r="C2337" s="807">
        <v>45603</v>
      </c>
      <c r="D2337" s="331">
        <f t="shared" si="32"/>
        <v>390992.18</v>
      </c>
      <c r="E2337" s="617">
        <v>136503.29999999999</v>
      </c>
      <c r="F2337" s="479">
        <v>200</v>
      </c>
      <c r="G2337" s="589">
        <v>254288.88</v>
      </c>
    </row>
    <row r="2338" spans="3:7" x14ac:dyDescent="0.2">
      <c r="C2338" s="807">
        <v>45603</v>
      </c>
      <c r="D2338" s="331">
        <f t="shared" si="32"/>
        <v>390902.67000000004</v>
      </c>
      <c r="E2338" s="617">
        <v>136413.79</v>
      </c>
      <c r="F2338" s="479">
        <v>200</v>
      </c>
      <c r="G2338" s="589">
        <v>254288.88</v>
      </c>
    </row>
    <row r="2339" spans="3:7" x14ac:dyDescent="0.2">
      <c r="C2339" s="807">
        <v>45603</v>
      </c>
      <c r="D2339" s="331">
        <f t="shared" si="32"/>
        <v>390473.13</v>
      </c>
      <c r="E2339" s="617">
        <v>135984.25</v>
      </c>
      <c r="F2339" s="479">
        <v>200</v>
      </c>
      <c r="G2339" s="589">
        <v>254288.88</v>
      </c>
    </row>
    <row r="2340" spans="3:7" x14ac:dyDescent="0.2">
      <c r="C2340" s="807">
        <v>45603</v>
      </c>
      <c r="D2340" s="331">
        <f t="shared" si="32"/>
        <v>390145.12</v>
      </c>
      <c r="E2340" s="617">
        <v>135656.24</v>
      </c>
      <c r="F2340" s="479">
        <v>200</v>
      </c>
      <c r="G2340" s="589">
        <v>254288.88</v>
      </c>
    </row>
    <row r="2341" spans="3:7" x14ac:dyDescent="0.2">
      <c r="C2341" s="807">
        <v>45603</v>
      </c>
      <c r="D2341" s="331">
        <f t="shared" si="32"/>
        <v>390090.51</v>
      </c>
      <c r="E2341" s="617">
        <v>135601.63</v>
      </c>
      <c r="F2341" s="479">
        <v>200</v>
      </c>
      <c r="G2341" s="589">
        <v>254288.88</v>
      </c>
    </row>
    <row r="2342" spans="3:7" x14ac:dyDescent="0.2">
      <c r="C2342" s="807">
        <v>45603</v>
      </c>
      <c r="D2342" s="331">
        <f t="shared" si="32"/>
        <v>389964.76</v>
      </c>
      <c r="E2342" s="617">
        <v>135475.88</v>
      </c>
      <c r="F2342" s="479">
        <v>200</v>
      </c>
      <c r="G2342" s="589">
        <v>254288.88</v>
      </c>
    </row>
    <row r="2343" spans="3:7" x14ac:dyDescent="0.2">
      <c r="C2343" s="807">
        <v>45603</v>
      </c>
      <c r="D2343" s="331">
        <f t="shared" si="32"/>
        <v>389830.80000000005</v>
      </c>
      <c r="E2343" s="617">
        <v>135341.92000000001</v>
      </c>
      <c r="F2343" s="479">
        <v>200</v>
      </c>
      <c r="G2343" s="589">
        <v>254288.88</v>
      </c>
    </row>
    <row r="2344" spans="3:7" x14ac:dyDescent="0.2">
      <c r="C2344" s="807">
        <v>45603</v>
      </c>
      <c r="D2344" s="331">
        <f t="shared" si="32"/>
        <v>389217.19</v>
      </c>
      <c r="E2344" s="617">
        <v>134728.31</v>
      </c>
      <c r="F2344" s="479">
        <v>200</v>
      </c>
      <c r="G2344" s="589">
        <v>254288.88</v>
      </c>
    </row>
    <row r="2345" spans="3:7" x14ac:dyDescent="0.2">
      <c r="C2345" s="807">
        <v>45603</v>
      </c>
      <c r="D2345" s="331">
        <f t="shared" si="32"/>
        <v>386663.1</v>
      </c>
      <c r="E2345" s="617">
        <v>132174.22</v>
      </c>
      <c r="F2345" s="479">
        <v>200</v>
      </c>
      <c r="G2345" s="589">
        <v>254288.88</v>
      </c>
    </row>
    <row r="2346" spans="3:7" x14ac:dyDescent="0.2">
      <c r="C2346" s="807">
        <v>45603</v>
      </c>
      <c r="D2346" s="331">
        <f t="shared" si="32"/>
        <v>386554.56</v>
      </c>
      <c r="E2346" s="617">
        <v>132065.68</v>
      </c>
      <c r="F2346" s="479">
        <v>200</v>
      </c>
      <c r="G2346" s="589">
        <v>254288.88</v>
      </c>
    </row>
    <row r="2347" spans="3:7" x14ac:dyDescent="0.2">
      <c r="C2347" s="807">
        <v>45603</v>
      </c>
      <c r="D2347" s="331">
        <f t="shared" si="32"/>
        <v>386788.56</v>
      </c>
      <c r="E2347" s="617">
        <v>132299.68</v>
      </c>
      <c r="F2347" s="479">
        <v>200</v>
      </c>
      <c r="G2347" s="589">
        <v>254288.88</v>
      </c>
    </row>
    <row r="2348" spans="3:7" x14ac:dyDescent="0.2">
      <c r="C2348" s="807">
        <v>45603</v>
      </c>
      <c r="D2348" s="331">
        <f t="shared" si="32"/>
        <v>386168.47</v>
      </c>
      <c r="E2348" s="617">
        <v>131679.59</v>
      </c>
      <c r="F2348" s="479">
        <v>200</v>
      </c>
      <c r="G2348" s="589">
        <v>254288.88</v>
      </c>
    </row>
    <row r="2349" spans="3:7" x14ac:dyDescent="0.2">
      <c r="C2349" s="807">
        <v>45604</v>
      </c>
      <c r="D2349" s="331">
        <f t="shared" si="32"/>
        <v>385817.44</v>
      </c>
      <c r="E2349" s="617">
        <v>131328.56</v>
      </c>
      <c r="F2349" s="479">
        <v>200</v>
      </c>
      <c r="G2349" s="589">
        <v>254288.88</v>
      </c>
    </row>
    <row r="2350" spans="3:7" x14ac:dyDescent="0.2">
      <c r="C2350" s="807">
        <v>45604</v>
      </c>
      <c r="D2350" s="331">
        <f t="shared" si="32"/>
        <v>388587.64</v>
      </c>
      <c r="E2350" s="617">
        <v>134098.76</v>
      </c>
      <c r="F2350" s="479">
        <v>200</v>
      </c>
      <c r="G2350" s="589">
        <v>254288.88</v>
      </c>
    </row>
    <row r="2351" spans="3:7" x14ac:dyDescent="0.2">
      <c r="C2351" s="807">
        <v>45608</v>
      </c>
      <c r="D2351" s="331">
        <f t="shared" si="32"/>
        <v>383945.64</v>
      </c>
      <c r="E2351" s="617">
        <v>129456.76</v>
      </c>
      <c r="F2351" s="479">
        <v>200</v>
      </c>
      <c r="G2351" s="589">
        <v>254288.88</v>
      </c>
    </row>
    <row r="2352" spans="3:7" x14ac:dyDescent="0.2">
      <c r="C2352" s="807">
        <v>45608</v>
      </c>
      <c r="D2352" s="331">
        <f t="shared" si="32"/>
        <v>384003.42</v>
      </c>
      <c r="E2352" s="617">
        <v>129514.54</v>
      </c>
      <c r="F2352" s="479">
        <v>200</v>
      </c>
      <c r="G2352" s="589">
        <v>254288.88</v>
      </c>
    </row>
    <row r="2353" spans="3:7" x14ac:dyDescent="0.2">
      <c r="C2353" s="807">
        <v>45608</v>
      </c>
      <c r="D2353" s="331">
        <f t="shared" si="32"/>
        <v>383718.68</v>
      </c>
      <c r="E2353" s="617">
        <v>129229.8</v>
      </c>
      <c r="F2353" s="479">
        <v>200</v>
      </c>
      <c r="G2353" s="589">
        <v>254288.88</v>
      </c>
    </row>
    <row r="2354" spans="3:7" x14ac:dyDescent="0.2">
      <c r="C2354" s="807">
        <v>45610</v>
      </c>
      <c r="D2354" s="331">
        <f t="shared" si="32"/>
        <v>383665.16000000003</v>
      </c>
      <c r="E2354" s="617">
        <v>129176.28</v>
      </c>
      <c r="F2354" s="479">
        <v>200</v>
      </c>
      <c r="G2354" s="589">
        <v>254288.88</v>
      </c>
    </row>
    <row r="2355" spans="3:7" x14ac:dyDescent="0.2">
      <c r="C2355" s="807">
        <v>45610</v>
      </c>
      <c r="D2355" s="331">
        <f t="shared" si="32"/>
        <v>383138.28</v>
      </c>
      <c r="E2355" s="617">
        <v>128649.4</v>
      </c>
      <c r="F2355" s="479">
        <v>200</v>
      </c>
      <c r="G2355" s="589">
        <v>254288.88</v>
      </c>
    </row>
    <row r="2356" spans="3:7" x14ac:dyDescent="0.2">
      <c r="C2356" s="807">
        <v>45610</v>
      </c>
      <c r="D2356" s="331">
        <f t="shared" si="32"/>
        <v>383074.28</v>
      </c>
      <c r="E2356" s="617">
        <v>128585.4</v>
      </c>
      <c r="F2356" s="479">
        <v>200</v>
      </c>
      <c r="G2356" s="589">
        <v>254288.88</v>
      </c>
    </row>
    <row r="2357" spans="3:7" x14ac:dyDescent="0.2">
      <c r="C2357" s="807">
        <v>45610</v>
      </c>
      <c r="D2357" s="331">
        <f t="shared" si="32"/>
        <v>382999.29000000004</v>
      </c>
      <c r="E2357" s="617">
        <v>128510.41</v>
      </c>
      <c r="F2357" s="479">
        <v>200</v>
      </c>
      <c r="G2357" s="589">
        <v>254288.88</v>
      </c>
    </row>
    <row r="2358" spans="3:7" x14ac:dyDescent="0.2">
      <c r="C2358" s="807">
        <v>45610</v>
      </c>
      <c r="D2358" s="331">
        <f t="shared" si="32"/>
        <v>382965.45</v>
      </c>
      <c r="E2358" s="617">
        <v>128476.57</v>
      </c>
      <c r="F2358" s="479">
        <v>200</v>
      </c>
      <c r="G2358" s="589">
        <v>254288.88</v>
      </c>
    </row>
    <row r="2359" spans="3:7" x14ac:dyDescent="0.2">
      <c r="C2359" s="807">
        <v>45610</v>
      </c>
      <c r="D2359" s="331">
        <f t="shared" si="32"/>
        <v>382960.85</v>
      </c>
      <c r="E2359" s="617">
        <v>128471.97</v>
      </c>
      <c r="F2359" s="479">
        <v>200</v>
      </c>
      <c r="G2359" s="589">
        <v>254288.88</v>
      </c>
    </row>
    <row r="2360" spans="3:7" x14ac:dyDescent="0.2">
      <c r="C2360" s="807">
        <v>45610</v>
      </c>
      <c r="D2360" s="331">
        <f t="shared" si="32"/>
        <v>382687.15</v>
      </c>
      <c r="E2360" s="617">
        <v>128198.27</v>
      </c>
      <c r="F2360" s="479">
        <v>200</v>
      </c>
      <c r="G2360" s="589">
        <v>254288.88</v>
      </c>
    </row>
    <row r="2361" spans="3:7" x14ac:dyDescent="0.2">
      <c r="C2361" s="807">
        <v>45610</v>
      </c>
      <c r="D2361" s="331">
        <f t="shared" si="32"/>
        <v>382187.15</v>
      </c>
      <c r="E2361" s="617">
        <v>127698.27</v>
      </c>
      <c r="F2361" s="479">
        <v>200</v>
      </c>
      <c r="G2361" s="589">
        <v>254288.88</v>
      </c>
    </row>
    <row r="2362" spans="3:7" x14ac:dyDescent="0.2">
      <c r="C2362" s="807">
        <v>45610</v>
      </c>
      <c r="D2362" s="331">
        <f t="shared" si="32"/>
        <v>382473.15</v>
      </c>
      <c r="E2362" s="617">
        <v>127984.27</v>
      </c>
      <c r="F2362" s="479">
        <v>200</v>
      </c>
      <c r="G2362" s="589">
        <v>254288.88</v>
      </c>
    </row>
    <row r="2363" spans="3:7" x14ac:dyDescent="0.2">
      <c r="C2363" s="807">
        <v>45610</v>
      </c>
      <c r="D2363" s="331">
        <f t="shared" si="32"/>
        <v>382473.15</v>
      </c>
      <c r="E2363" s="617">
        <v>127984.27</v>
      </c>
      <c r="F2363" s="479">
        <v>200</v>
      </c>
      <c r="G2363" s="589">
        <v>254288.88</v>
      </c>
    </row>
    <row r="2364" spans="3:7" x14ac:dyDescent="0.2">
      <c r="C2364" s="807">
        <v>45611</v>
      </c>
      <c r="D2364" s="331">
        <f t="shared" si="32"/>
        <v>382476.65</v>
      </c>
      <c r="E2364" s="617">
        <v>127987.77</v>
      </c>
      <c r="F2364" s="479">
        <v>200</v>
      </c>
      <c r="G2364" s="589">
        <v>254288.88</v>
      </c>
    </row>
    <row r="2365" spans="3:7" x14ac:dyDescent="0.2">
      <c r="C2365" s="807">
        <v>45611</v>
      </c>
      <c r="D2365" s="331">
        <f t="shared" si="32"/>
        <v>382018.3</v>
      </c>
      <c r="E2365" s="617">
        <v>127529.42</v>
      </c>
      <c r="F2365" s="479">
        <v>200</v>
      </c>
      <c r="G2365" s="589">
        <v>254288.88</v>
      </c>
    </row>
    <row r="2366" spans="3:7" x14ac:dyDescent="0.2">
      <c r="C2366" s="807">
        <v>45611</v>
      </c>
      <c r="D2366" s="331">
        <f t="shared" si="32"/>
        <v>385270.54000000004</v>
      </c>
      <c r="E2366" s="617">
        <v>130781.66</v>
      </c>
      <c r="F2366" s="479">
        <v>200</v>
      </c>
      <c r="G2366" s="589">
        <v>254288.88</v>
      </c>
    </row>
    <row r="2367" spans="3:7" x14ac:dyDescent="0.2">
      <c r="C2367" s="807">
        <v>45611</v>
      </c>
      <c r="D2367" s="331">
        <f t="shared" si="32"/>
        <v>385286.02</v>
      </c>
      <c r="E2367" s="617">
        <v>130797.14</v>
      </c>
      <c r="F2367" s="479">
        <v>200</v>
      </c>
      <c r="G2367" s="589">
        <v>254288.88</v>
      </c>
    </row>
    <row r="2368" spans="3:7" x14ac:dyDescent="0.2">
      <c r="C2368" s="807">
        <v>45615</v>
      </c>
      <c r="D2368" s="331">
        <f t="shared" si="32"/>
        <v>384920.04000000004</v>
      </c>
      <c r="E2368" s="617">
        <v>130431.16</v>
      </c>
      <c r="F2368" s="479">
        <v>200</v>
      </c>
      <c r="G2368" s="589">
        <v>254288.88</v>
      </c>
    </row>
    <row r="2369" spans="3:7" x14ac:dyDescent="0.2">
      <c r="C2369" s="807">
        <v>45615</v>
      </c>
      <c r="D2369" s="331">
        <f t="shared" si="32"/>
        <v>343105.26</v>
      </c>
      <c r="E2369" s="617">
        <v>88616.38</v>
      </c>
      <c r="F2369" s="479">
        <v>200</v>
      </c>
      <c r="G2369" s="589">
        <v>254288.88</v>
      </c>
    </row>
    <row r="2370" spans="3:7" x14ac:dyDescent="0.2">
      <c r="C2370" s="807">
        <v>45616</v>
      </c>
      <c r="D2370" s="331">
        <f t="shared" si="32"/>
        <v>340105.37</v>
      </c>
      <c r="E2370" s="617">
        <v>85616.49</v>
      </c>
      <c r="F2370" s="479">
        <v>200</v>
      </c>
      <c r="G2370" s="589">
        <v>254288.88</v>
      </c>
    </row>
    <row r="2371" spans="3:7" x14ac:dyDescent="0.2">
      <c r="C2371" s="807">
        <v>45616</v>
      </c>
      <c r="D2371" s="331">
        <f t="shared" si="32"/>
        <v>335468.29000000004</v>
      </c>
      <c r="E2371" s="617">
        <v>80979.41</v>
      </c>
      <c r="F2371" s="479">
        <v>200</v>
      </c>
      <c r="G2371" s="589">
        <v>254288.88</v>
      </c>
    </row>
    <row r="2372" spans="3:7" x14ac:dyDescent="0.2">
      <c r="C2372" s="807">
        <v>45616</v>
      </c>
      <c r="D2372" s="331">
        <f t="shared" si="32"/>
        <v>335433.94</v>
      </c>
      <c r="E2372" s="617">
        <v>80945.06</v>
      </c>
      <c r="F2372" s="479">
        <v>200</v>
      </c>
      <c r="G2372" s="589">
        <v>254288.88</v>
      </c>
    </row>
    <row r="2373" spans="3:7" x14ac:dyDescent="0.2">
      <c r="C2373" s="807">
        <v>45616</v>
      </c>
      <c r="D2373" s="331">
        <f t="shared" si="32"/>
        <v>335225.94</v>
      </c>
      <c r="E2373" s="617">
        <v>80737.06</v>
      </c>
      <c r="F2373" s="479">
        <v>200</v>
      </c>
      <c r="G2373" s="589">
        <v>254288.88</v>
      </c>
    </row>
    <row r="2374" spans="3:7" x14ac:dyDescent="0.2">
      <c r="C2374" s="807">
        <v>45616</v>
      </c>
      <c r="D2374" s="331">
        <f t="shared" si="32"/>
        <v>333447.7</v>
      </c>
      <c r="E2374" s="617">
        <v>78958.820000000007</v>
      </c>
      <c r="F2374" s="479">
        <v>200</v>
      </c>
      <c r="G2374" s="589">
        <v>254288.88</v>
      </c>
    </row>
    <row r="2375" spans="3:7" x14ac:dyDescent="0.2">
      <c r="C2375" s="807">
        <v>45616</v>
      </c>
      <c r="D2375" s="331">
        <f t="shared" si="32"/>
        <v>333350.23</v>
      </c>
      <c r="E2375" s="617">
        <v>78861.350000000006</v>
      </c>
      <c r="F2375" s="479">
        <v>200</v>
      </c>
      <c r="G2375" s="589">
        <v>254288.88</v>
      </c>
    </row>
    <row r="2376" spans="3:7" x14ac:dyDescent="0.2">
      <c r="C2376" s="807">
        <v>45616</v>
      </c>
      <c r="D2376" s="331">
        <f t="shared" si="32"/>
        <v>333173.24</v>
      </c>
      <c r="E2376" s="617">
        <v>78684.36</v>
      </c>
      <c r="F2376" s="479">
        <v>200</v>
      </c>
      <c r="G2376" s="589">
        <v>254288.88</v>
      </c>
    </row>
    <row r="2377" spans="3:7" x14ac:dyDescent="0.2">
      <c r="C2377" s="807">
        <v>45616</v>
      </c>
      <c r="D2377" s="331">
        <f t="shared" si="32"/>
        <v>332837.56</v>
      </c>
      <c r="E2377" s="617">
        <v>78348.679999999993</v>
      </c>
      <c r="F2377" s="479">
        <v>200</v>
      </c>
      <c r="G2377" s="589">
        <v>254288.88</v>
      </c>
    </row>
    <row r="2378" spans="3:7" x14ac:dyDescent="0.2">
      <c r="C2378" s="807">
        <v>45616</v>
      </c>
      <c r="D2378" s="331">
        <f t="shared" si="32"/>
        <v>332720.73</v>
      </c>
      <c r="E2378" s="617">
        <v>78231.850000000006</v>
      </c>
      <c r="F2378" s="479">
        <v>200</v>
      </c>
      <c r="G2378" s="589">
        <v>254288.88</v>
      </c>
    </row>
    <row r="2379" spans="3:7" x14ac:dyDescent="0.2">
      <c r="C2379" s="807">
        <v>45616</v>
      </c>
      <c r="D2379" s="331">
        <f t="shared" si="32"/>
        <v>331623.23</v>
      </c>
      <c r="E2379" s="617">
        <v>77134.350000000006</v>
      </c>
      <c r="F2379" s="479">
        <v>200</v>
      </c>
      <c r="G2379" s="589">
        <v>254288.88</v>
      </c>
    </row>
    <row r="2380" spans="3:7" x14ac:dyDescent="0.2">
      <c r="C2380" s="807">
        <v>45616</v>
      </c>
      <c r="D2380" s="331">
        <f t="shared" si="32"/>
        <v>331473.23</v>
      </c>
      <c r="E2380" s="617">
        <v>76984.350000000006</v>
      </c>
      <c r="F2380" s="479">
        <v>200</v>
      </c>
      <c r="G2380" s="589">
        <v>254288.88</v>
      </c>
    </row>
    <row r="2381" spans="3:7" x14ac:dyDescent="0.2">
      <c r="C2381" s="807">
        <v>45616</v>
      </c>
      <c r="D2381" s="331">
        <f t="shared" si="32"/>
        <v>331441.23</v>
      </c>
      <c r="E2381" s="617">
        <v>76952.350000000006</v>
      </c>
      <c r="F2381" s="479">
        <v>200</v>
      </c>
      <c r="G2381" s="589">
        <v>254288.88</v>
      </c>
    </row>
    <row r="2382" spans="3:7" x14ac:dyDescent="0.2">
      <c r="C2382" s="807">
        <v>45617</v>
      </c>
      <c r="D2382" s="331">
        <f t="shared" si="32"/>
        <v>331541.23</v>
      </c>
      <c r="E2382" s="617">
        <v>77052.350000000006</v>
      </c>
      <c r="F2382" s="479">
        <v>200</v>
      </c>
      <c r="G2382" s="589">
        <v>254288.88</v>
      </c>
    </row>
    <row r="2383" spans="3:7" x14ac:dyDescent="0.2">
      <c r="C2383" s="807">
        <v>45618</v>
      </c>
      <c r="D2383" s="331">
        <f t="shared" si="32"/>
        <v>331190.2</v>
      </c>
      <c r="E2383" s="617">
        <v>76701.320000000007</v>
      </c>
      <c r="F2383" s="479">
        <v>200</v>
      </c>
      <c r="G2383" s="589">
        <v>254288.88</v>
      </c>
    </row>
    <row r="2384" spans="3:7" x14ac:dyDescent="0.2">
      <c r="C2384" s="807">
        <v>45618</v>
      </c>
      <c r="D2384" s="331">
        <f t="shared" si="32"/>
        <v>331515.2</v>
      </c>
      <c r="E2384" s="617">
        <v>77026.320000000007</v>
      </c>
      <c r="F2384" s="479">
        <v>200</v>
      </c>
      <c r="G2384" s="589">
        <v>254288.88</v>
      </c>
    </row>
    <row r="2385" spans="3:7" x14ac:dyDescent="0.2">
      <c r="C2385" s="807">
        <v>45618</v>
      </c>
      <c r="D2385" s="331">
        <f t="shared" si="32"/>
        <v>335363.53000000003</v>
      </c>
      <c r="E2385" s="617">
        <v>80874.649999999994</v>
      </c>
      <c r="F2385" s="479">
        <v>200</v>
      </c>
      <c r="G2385" s="589">
        <v>254288.88</v>
      </c>
    </row>
    <row r="2386" spans="3:7" x14ac:dyDescent="0.2">
      <c r="C2386" s="807">
        <v>45622</v>
      </c>
      <c r="D2386" s="331">
        <f t="shared" si="32"/>
        <v>335214.24</v>
      </c>
      <c r="E2386" s="617">
        <v>80725.36</v>
      </c>
      <c r="F2386" s="479">
        <v>200</v>
      </c>
      <c r="G2386" s="589">
        <v>254288.88</v>
      </c>
    </row>
    <row r="2387" spans="3:7" x14ac:dyDescent="0.2">
      <c r="C2387" s="807">
        <v>45623</v>
      </c>
      <c r="D2387" s="331">
        <f t="shared" si="32"/>
        <v>334827.34999999998</v>
      </c>
      <c r="E2387" s="617">
        <v>80338.47</v>
      </c>
      <c r="F2387" s="479">
        <v>200</v>
      </c>
      <c r="G2387" s="589">
        <v>254288.88</v>
      </c>
    </row>
    <row r="2388" spans="3:7" x14ac:dyDescent="0.2">
      <c r="C2388" s="807">
        <v>45625</v>
      </c>
      <c r="D2388" s="331">
        <f t="shared" si="32"/>
        <v>370155.19999999995</v>
      </c>
      <c r="E2388" s="617">
        <v>114885.62</v>
      </c>
      <c r="F2388" s="479">
        <v>200</v>
      </c>
      <c r="G2388" s="589">
        <v>255069.58</v>
      </c>
    </row>
    <row r="2389" spans="3:7" x14ac:dyDescent="0.2">
      <c r="C2389" s="807">
        <v>45628</v>
      </c>
      <c r="D2389" s="331">
        <f t="shared" si="32"/>
        <v>329849.65000000002</v>
      </c>
      <c r="E2389" s="617">
        <v>74580.070000000007</v>
      </c>
      <c r="F2389" s="479">
        <v>200</v>
      </c>
      <c r="G2389" s="589">
        <v>255069.58</v>
      </c>
    </row>
    <row r="2390" spans="3:7" x14ac:dyDescent="0.2">
      <c r="C2390" s="807">
        <v>45629</v>
      </c>
      <c r="D2390" s="331">
        <f t="shared" ref="D2390:D2453" si="33">E2390+F2390+G2390</f>
        <v>408608.68</v>
      </c>
      <c r="E2390" s="617">
        <v>153339.1</v>
      </c>
      <c r="F2390" s="479">
        <v>200</v>
      </c>
      <c r="G2390" s="589">
        <v>255069.58</v>
      </c>
    </row>
    <row r="2391" spans="3:7" x14ac:dyDescent="0.2">
      <c r="C2391" s="807">
        <v>45629</v>
      </c>
      <c r="D2391" s="331">
        <f t="shared" si="33"/>
        <v>408588.68</v>
      </c>
      <c r="E2391" s="617">
        <v>153319.1</v>
      </c>
      <c r="F2391" s="479">
        <v>200</v>
      </c>
      <c r="G2391" s="589">
        <v>255069.58</v>
      </c>
    </row>
    <row r="2392" spans="3:7" x14ac:dyDescent="0.2">
      <c r="C2392" s="807">
        <v>45629</v>
      </c>
      <c r="D2392" s="331">
        <f t="shared" si="33"/>
        <v>533588.67999999993</v>
      </c>
      <c r="E2392" s="617">
        <v>278319.09999999998</v>
      </c>
      <c r="F2392" s="479">
        <v>200</v>
      </c>
      <c r="G2392" s="589">
        <v>255069.58</v>
      </c>
    </row>
    <row r="2393" spans="3:7" x14ac:dyDescent="0.2">
      <c r="C2393" s="807">
        <v>45631</v>
      </c>
      <c r="D2393" s="331">
        <f t="shared" si="33"/>
        <v>533565.67999999993</v>
      </c>
      <c r="E2393" s="617">
        <v>278296.09999999998</v>
      </c>
      <c r="F2393" s="479">
        <v>200</v>
      </c>
      <c r="G2393" s="589">
        <v>255069.58</v>
      </c>
    </row>
    <row r="2394" spans="3:7" x14ac:dyDescent="0.2">
      <c r="C2394" s="807">
        <v>45631</v>
      </c>
      <c r="D2394" s="331">
        <f t="shared" si="33"/>
        <v>533415.67999999993</v>
      </c>
      <c r="E2394" s="617">
        <v>278146.09999999998</v>
      </c>
      <c r="F2394" s="479">
        <v>200</v>
      </c>
      <c r="G2394" s="589">
        <v>255069.58</v>
      </c>
    </row>
    <row r="2395" spans="3:7" x14ac:dyDescent="0.2">
      <c r="C2395" s="807">
        <v>45631</v>
      </c>
      <c r="D2395" s="331">
        <f t="shared" si="33"/>
        <v>525563.86</v>
      </c>
      <c r="E2395" s="617">
        <v>270294.28000000003</v>
      </c>
      <c r="F2395" s="479">
        <v>200</v>
      </c>
      <c r="G2395" s="589">
        <v>255069.58</v>
      </c>
    </row>
    <row r="2396" spans="3:7" x14ac:dyDescent="0.2">
      <c r="C2396" s="807">
        <v>45631</v>
      </c>
      <c r="D2396" s="331">
        <f t="shared" si="33"/>
        <v>523323.94999999995</v>
      </c>
      <c r="E2396" s="617">
        <v>268054.37</v>
      </c>
      <c r="F2396" s="479">
        <v>200</v>
      </c>
      <c r="G2396" s="589">
        <v>255069.58</v>
      </c>
    </row>
    <row r="2397" spans="3:7" x14ac:dyDescent="0.2">
      <c r="C2397" s="807">
        <v>45631</v>
      </c>
      <c r="D2397" s="331">
        <f t="shared" si="33"/>
        <v>523060.35</v>
      </c>
      <c r="E2397" s="617">
        <v>267790.77</v>
      </c>
      <c r="F2397" s="479">
        <v>200</v>
      </c>
      <c r="G2397" s="589">
        <v>255069.58</v>
      </c>
    </row>
    <row r="2398" spans="3:7" x14ac:dyDescent="0.2">
      <c r="C2398" s="807">
        <v>45631</v>
      </c>
      <c r="D2398" s="331">
        <f t="shared" si="33"/>
        <v>522972.04000000004</v>
      </c>
      <c r="E2398" s="617">
        <v>267702.46000000002</v>
      </c>
      <c r="F2398" s="479">
        <v>200</v>
      </c>
      <c r="G2398" s="589">
        <v>255069.58</v>
      </c>
    </row>
    <row r="2399" spans="3:7" x14ac:dyDescent="0.2">
      <c r="C2399" s="807">
        <v>45631</v>
      </c>
      <c r="D2399" s="331">
        <f t="shared" si="33"/>
        <v>522707.51</v>
      </c>
      <c r="E2399" s="617">
        <v>267437.93</v>
      </c>
      <c r="F2399" s="479">
        <v>200</v>
      </c>
      <c r="G2399" s="589">
        <v>255069.58</v>
      </c>
    </row>
    <row r="2400" spans="3:7" x14ac:dyDescent="0.2">
      <c r="C2400" s="807">
        <v>45631</v>
      </c>
      <c r="D2400" s="331">
        <f t="shared" si="33"/>
        <v>522092.67999999993</v>
      </c>
      <c r="E2400" s="617">
        <v>266823.09999999998</v>
      </c>
      <c r="F2400" s="479">
        <v>200</v>
      </c>
      <c r="G2400" s="589">
        <v>255069.58</v>
      </c>
    </row>
    <row r="2401" spans="3:7" x14ac:dyDescent="0.2">
      <c r="C2401" s="807">
        <v>45631</v>
      </c>
      <c r="D2401" s="331">
        <f t="shared" si="33"/>
        <v>522071.03</v>
      </c>
      <c r="E2401" s="617">
        <v>266801.45</v>
      </c>
      <c r="F2401" s="479">
        <v>200</v>
      </c>
      <c r="G2401" s="589">
        <v>255069.58</v>
      </c>
    </row>
    <row r="2402" spans="3:7" x14ac:dyDescent="0.2">
      <c r="C2402" s="807">
        <v>45631</v>
      </c>
      <c r="D2402" s="331">
        <f t="shared" si="33"/>
        <v>521537.44999999995</v>
      </c>
      <c r="E2402" s="617">
        <v>266267.87</v>
      </c>
      <c r="F2402" s="479">
        <v>200</v>
      </c>
      <c r="G2402" s="589">
        <v>255069.58</v>
      </c>
    </row>
    <row r="2403" spans="3:7" x14ac:dyDescent="0.2">
      <c r="C2403" s="807">
        <v>45631</v>
      </c>
      <c r="D2403" s="331">
        <f t="shared" si="33"/>
        <v>521107.91000000003</v>
      </c>
      <c r="E2403" s="617">
        <v>265838.33</v>
      </c>
      <c r="F2403" s="479">
        <v>200</v>
      </c>
      <c r="G2403" s="589">
        <v>255069.58</v>
      </c>
    </row>
    <row r="2404" spans="3:7" x14ac:dyDescent="0.2">
      <c r="C2404" s="807">
        <v>45631</v>
      </c>
      <c r="D2404" s="331">
        <f t="shared" si="33"/>
        <v>520990.61</v>
      </c>
      <c r="E2404" s="617">
        <v>265721.03000000003</v>
      </c>
      <c r="F2404" s="479">
        <v>200</v>
      </c>
      <c r="G2404" s="589">
        <v>255069.58</v>
      </c>
    </row>
    <row r="2405" spans="3:7" x14ac:dyDescent="0.2">
      <c r="C2405" s="807">
        <v>45631</v>
      </c>
      <c r="D2405" s="331">
        <f t="shared" si="33"/>
        <v>520378.69999999995</v>
      </c>
      <c r="E2405" s="617">
        <v>265109.12</v>
      </c>
      <c r="F2405" s="479">
        <v>200</v>
      </c>
      <c r="G2405" s="589">
        <v>255069.58</v>
      </c>
    </row>
    <row r="2406" spans="3:7" x14ac:dyDescent="0.2">
      <c r="C2406" s="807">
        <v>45631</v>
      </c>
      <c r="D2406" s="331">
        <f t="shared" si="33"/>
        <v>520320.57999999996</v>
      </c>
      <c r="E2406" s="617">
        <v>265051</v>
      </c>
      <c r="F2406" s="479">
        <v>200</v>
      </c>
      <c r="G2406" s="589">
        <v>255069.58</v>
      </c>
    </row>
    <row r="2407" spans="3:7" x14ac:dyDescent="0.2">
      <c r="C2407" s="807">
        <v>45631</v>
      </c>
      <c r="D2407" s="331">
        <f t="shared" si="33"/>
        <v>534914.6</v>
      </c>
      <c r="E2407" s="617">
        <v>279645.02</v>
      </c>
      <c r="F2407" s="479">
        <v>200</v>
      </c>
      <c r="G2407" s="589">
        <v>255069.58</v>
      </c>
    </row>
    <row r="2408" spans="3:7" x14ac:dyDescent="0.2">
      <c r="C2408" s="807">
        <v>45631</v>
      </c>
      <c r="D2408" s="331">
        <f t="shared" si="33"/>
        <v>535471.51</v>
      </c>
      <c r="E2408" s="617">
        <v>280201.93</v>
      </c>
      <c r="F2408" s="479">
        <v>200</v>
      </c>
      <c r="G2408" s="589">
        <v>255069.58</v>
      </c>
    </row>
    <row r="2409" spans="3:7" x14ac:dyDescent="0.2">
      <c r="C2409" s="807">
        <v>45632</v>
      </c>
      <c r="D2409" s="331">
        <f t="shared" si="33"/>
        <v>535571.51</v>
      </c>
      <c r="E2409" s="617">
        <v>280301.93</v>
      </c>
      <c r="F2409" s="479">
        <v>200</v>
      </c>
      <c r="G2409" s="589">
        <v>255069.58</v>
      </c>
    </row>
    <row r="2410" spans="3:7" x14ac:dyDescent="0.2">
      <c r="C2410" s="807">
        <v>45632</v>
      </c>
      <c r="D2410" s="331">
        <f t="shared" si="33"/>
        <v>535220.47999999998</v>
      </c>
      <c r="E2410" s="617">
        <v>279950.90000000002</v>
      </c>
      <c r="F2410" s="479">
        <v>200</v>
      </c>
      <c r="G2410" s="589">
        <v>255069.58</v>
      </c>
    </row>
    <row r="2411" spans="3:7" x14ac:dyDescent="0.2">
      <c r="C2411" s="807">
        <v>45635</v>
      </c>
      <c r="D2411" s="331">
        <f t="shared" si="33"/>
        <v>535851.48</v>
      </c>
      <c r="E2411" s="617">
        <v>280581.90000000002</v>
      </c>
      <c r="F2411" s="479">
        <v>200</v>
      </c>
      <c r="G2411" s="589">
        <v>255069.58</v>
      </c>
    </row>
    <row r="2412" spans="3:7" x14ac:dyDescent="0.2">
      <c r="C2412" s="807">
        <v>45636</v>
      </c>
      <c r="D2412" s="331">
        <f t="shared" si="33"/>
        <v>536311.48</v>
      </c>
      <c r="E2412" s="617">
        <v>281041.90000000002</v>
      </c>
      <c r="F2412" s="479">
        <v>200</v>
      </c>
      <c r="G2412" s="589">
        <v>255069.58</v>
      </c>
    </row>
    <row r="2413" spans="3:7" x14ac:dyDescent="0.2">
      <c r="C2413" s="807">
        <v>45637</v>
      </c>
      <c r="D2413" s="331">
        <f t="shared" si="33"/>
        <v>526861.48</v>
      </c>
      <c r="E2413" s="617">
        <v>271591.90000000002</v>
      </c>
      <c r="F2413" s="479">
        <v>200</v>
      </c>
      <c r="G2413" s="589">
        <v>255069.58</v>
      </c>
    </row>
    <row r="2414" spans="3:7" x14ac:dyDescent="0.2">
      <c r="C2414" s="807">
        <v>45638</v>
      </c>
      <c r="D2414" s="331">
        <f t="shared" si="33"/>
        <v>526771.48</v>
      </c>
      <c r="E2414" s="617">
        <v>271501.90000000002</v>
      </c>
      <c r="F2414" s="479">
        <v>200</v>
      </c>
      <c r="G2414" s="589">
        <v>255069.58</v>
      </c>
    </row>
    <row r="2415" spans="3:7" x14ac:dyDescent="0.2">
      <c r="C2415" s="807">
        <v>45638</v>
      </c>
      <c r="D2415" s="331">
        <f t="shared" si="33"/>
        <v>526665.76</v>
      </c>
      <c r="E2415" s="617">
        <v>271396.18</v>
      </c>
      <c r="F2415" s="479">
        <v>200</v>
      </c>
      <c r="G2415" s="589">
        <v>255069.58</v>
      </c>
    </row>
    <row r="2416" spans="3:7" x14ac:dyDescent="0.2">
      <c r="C2416" s="807">
        <v>45638</v>
      </c>
      <c r="D2416" s="331">
        <f t="shared" si="33"/>
        <v>526579.77</v>
      </c>
      <c r="E2416" s="617">
        <v>271310.19</v>
      </c>
      <c r="F2416" s="479">
        <v>200</v>
      </c>
      <c r="G2416" s="589">
        <v>255069.58</v>
      </c>
    </row>
    <row r="2417" spans="3:7" x14ac:dyDescent="0.2">
      <c r="C2417" s="807">
        <v>45638</v>
      </c>
      <c r="D2417" s="331">
        <f t="shared" si="33"/>
        <v>526579.77</v>
      </c>
      <c r="E2417" s="617">
        <v>271310.19</v>
      </c>
      <c r="F2417" s="479">
        <v>200</v>
      </c>
      <c r="G2417" s="589">
        <v>255069.58</v>
      </c>
    </row>
    <row r="2418" spans="3:7" x14ac:dyDescent="0.2">
      <c r="C2418" s="807">
        <v>45638</v>
      </c>
      <c r="D2418" s="331">
        <f t="shared" si="33"/>
        <v>524798.53</v>
      </c>
      <c r="E2418" s="617">
        <v>269528.95</v>
      </c>
      <c r="F2418" s="479">
        <v>200</v>
      </c>
      <c r="G2418" s="589">
        <v>255069.58</v>
      </c>
    </row>
    <row r="2419" spans="3:7" x14ac:dyDescent="0.2">
      <c r="C2419" s="807">
        <v>45638</v>
      </c>
      <c r="D2419" s="331">
        <f t="shared" si="33"/>
        <v>524120.99</v>
      </c>
      <c r="E2419" s="617">
        <v>268851.40999999997</v>
      </c>
      <c r="F2419" s="479">
        <v>200</v>
      </c>
      <c r="G2419" s="589">
        <v>255069.58</v>
      </c>
    </row>
    <row r="2420" spans="3:7" x14ac:dyDescent="0.2">
      <c r="C2420" s="807">
        <v>45638</v>
      </c>
      <c r="D2420" s="331">
        <f t="shared" si="33"/>
        <v>524093.39</v>
      </c>
      <c r="E2420" s="617">
        <v>268823.81</v>
      </c>
      <c r="F2420" s="479">
        <v>200</v>
      </c>
      <c r="G2420" s="589">
        <v>255069.58</v>
      </c>
    </row>
    <row r="2421" spans="3:7" x14ac:dyDescent="0.2">
      <c r="C2421" s="807">
        <v>45638</v>
      </c>
      <c r="D2421" s="331">
        <f t="shared" si="33"/>
        <v>524072.39</v>
      </c>
      <c r="E2421" s="617">
        <v>268802.81</v>
      </c>
      <c r="F2421" s="479">
        <v>200</v>
      </c>
      <c r="G2421" s="589">
        <v>255069.58</v>
      </c>
    </row>
    <row r="2422" spans="3:7" x14ac:dyDescent="0.2">
      <c r="C2422" s="807">
        <v>45638</v>
      </c>
      <c r="D2422" s="331">
        <f t="shared" si="33"/>
        <v>524072.39</v>
      </c>
      <c r="E2422" s="617">
        <v>268802.81</v>
      </c>
      <c r="F2422" s="479">
        <v>200</v>
      </c>
      <c r="G2422" s="589">
        <v>255069.58</v>
      </c>
    </row>
    <row r="2423" spans="3:7" x14ac:dyDescent="0.2">
      <c r="C2423" s="807">
        <v>45638</v>
      </c>
      <c r="D2423" s="331">
        <f t="shared" si="33"/>
        <v>523894.11</v>
      </c>
      <c r="E2423" s="617">
        <v>268624.53000000003</v>
      </c>
      <c r="F2423" s="479">
        <v>200</v>
      </c>
      <c r="G2423" s="589">
        <v>255069.58</v>
      </c>
    </row>
    <row r="2424" spans="3:7" x14ac:dyDescent="0.2">
      <c r="C2424" s="807">
        <v>45638</v>
      </c>
      <c r="D2424" s="331">
        <f t="shared" si="33"/>
        <v>523656.66000000003</v>
      </c>
      <c r="E2424" s="617">
        <v>268387.08</v>
      </c>
      <c r="F2424" s="479">
        <v>200</v>
      </c>
      <c r="G2424" s="589">
        <v>255069.58</v>
      </c>
    </row>
    <row r="2425" spans="3:7" x14ac:dyDescent="0.2">
      <c r="C2425" s="807">
        <v>45639</v>
      </c>
      <c r="D2425" s="331">
        <f t="shared" si="33"/>
        <v>523671.15</v>
      </c>
      <c r="E2425" s="617">
        <v>268401.57</v>
      </c>
      <c r="F2425" s="479">
        <v>200</v>
      </c>
      <c r="G2425" s="589">
        <v>255069.58</v>
      </c>
    </row>
    <row r="2426" spans="3:7" x14ac:dyDescent="0.2">
      <c r="C2426" s="807">
        <v>45642</v>
      </c>
      <c r="D2426" s="331">
        <f t="shared" si="33"/>
        <v>480106.27</v>
      </c>
      <c r="E2426" s="617">
        <v>224836.69</v>
      </c>
      <c r="F2426" s="479">
        <v>200</v>
      </c>
      <c r="G2426" s="589">
        <v>255069.58</v>
      </c>
    </row>
    <row r="2427" spans="3:7" x14ac:dyDescent="0.2">
      <c r="C2427" s="807">
        <v>45644</v>
      </c>
      <c r="D2427" s="331">
        <f t="shared" si="33"/>
        <v>480052.75</v>
      </c>
      <c r="E2427" s="617">
        <v>224783.17</v>
      </c>
      <c r="F2427" s="479">
        <v>200</v>
      </c>
      <c r="G2427" s="589">
        <v>255069.58</v>
      </c>
    </row>
    <row r="2428" spans="3:7" x14ac:dyDescent="0.2">
      <c r="C2428" s="807">
        <v>45644</v>
      </c>
      <c r="D2428" s="331">
        <f t="shared" si="33"/>
        <v>479688.41</v>
      </c>
      <c r="E2428" s="617">
        <v>224418.83</v>
      </c>
      <c r="F2428" s="479">
        <v>200</v>
      </c>
      <c r="G2428" s="589">
        <v>255069.58</v>
      </c>
    </row>
    <row r="2429" spans="3:7" x14ac:dyDescent="0.2">
      <c r="C2429" s="807">
        <v>45644</v>
      </c>
      <c r="D2429" s="331">
        <f t="shared" si="33"/>
        <v>479480.41</v>
      </c>
      <c r="E2429" s="617">
        <v>224210.83</v>
      </c>
      <c r="F2429" s="479">
        <v>200</v>
      </c>
      <c r="G2429" s="589">
        <v>255069.58</v>
      </c>
    </row>
    <row r="2430" spans="3:7" x14ac:dyDescent="0.2">
      <c r="C2430" s="807">
        <v>45644</v>
      </c>
      <c r="D2430" s="331">
        <f t="shared" si="33"/>
        <v>479097.24</v>
      </c>
      <c r="E2430" s="617">
        <v>223827.66</v>
      </c>
      <c r="F2430" s="479">
        <v>200</v>
      </c>
      <c r="G2430" s="589">
        <v>255069.58</v>
      </c>
    </row>
    <row r="2431" spans="3:7" x14ac:dyDescent="0.2">
      <c r="C2431" s="807">
        <v>45644</v>
      </c>
      <c r="D2431" s="331">
        <f t="shared" si="33"/>
        <v>479093.24</v>
      </c>
      <c r="E2431" s="617">
        <v>223823.66</v>
      </c>
      <c r="F2431" s="479">
        <v>200</v>
      </c>
      <c r="G2431" s="589">
        <v>255069.58</v>
      </c>
    </row>
    <row r="2432" spans="3:7" x14ac:dyDescent="0.2">
      <c r="C2432" s="807">
        <v>45644</v>
      </c>
      <c r="D2432" s="331">
        <f t="shared" si="33"/>
        <v>479072.24</v>
      </c>
      <c r="E2432" s="617">
        <v>223802.66</v>
      </c>
      <c r="F2432" s="479">
        <v>200</v>
      </c>
      <c r="G2432" s="589">
        <v>255069.58</v>
      </c>
    </row>
    <row r="2433" spans="3:7" x14ac:dyDescent="0.2">
      <c r="C2433" s="807">
        <v>45644</v>
      </c>
      <c r="D2433" s="331">
        <f t="shared" si="33"/>
        <v>479028.4</v>
      </c>
      <c r="E2433" s="617">
        <v>223758.82</v>
      </c>
      <c r="F2433" s="479">
        <v>200</v>
      </c>
      <c r="G2433" s="589">
        <v>255069.58</v>
      </c>
    </row>
    <row r="2434" spans="3:7" x14ac:dyDescent="0.2">
      <c r="C2434" s="807">
        <v>45644</v>
      </c>
      <c r="D2434" s="331">
        <f t="shared" si="33"/>
        <v>479643.4</v>
      </c>
      <c r="E2434" s="617">
        <v>224373.82</v>
      </c>
      <c r="F2434" s="479">
        <v>200</v>
      </c>
      <c r="G2434" s="589">
        <v>255069.58</v>
      </c>
    </row>
    <row r="2435" spans="3:7" x14ac:dyDescent="0.2">
      <c r="C2435" s="807">
        <v>45644</v>
      </c>
      <c r="D2435" s="331">
        <f t="shared" si="33"/>
        <v>542279.13</v>
      </c>
      <c r="E2435" s="617">
        <v>287009.55</v>
      </c>
      <c r="F2435" s="479">
        <v>200</v>
      </c>
      <c r="G2435" s="589">
        <v>255069.58</v>
      </c>
    </row>
    <row r="2436" spans="3:7" x14ac:dyDescent="0.2">
      <c r="C2436" s="807">
        <v>45644</v>
      </c>
      <c r="D2436" s="331">
        <f t="shared" si="33"/>
        <v>541679.13</v>
      </c>
      <c r="E2436" s="617">
        <v>286409.55</v>
      </c>
      <c r="F2436" s="479">
        <v>200</v>
      </c>
      <c r="G2436" s="589">
        <v>255069.58</v>
      </c>
    </row>
    <row r="2437" spans="3:7" x14ac:dyDescent="0.2">
      <c r="C2437" s="807">
        <v>45645</v>
      </c>
      <c r="D2437" s="331">
        <f t="shared" si="33"/>
        <v>541666.38</v>
      </c>
      <c r="E2437" s="617">
        <v>286396.79999999999</v>
      </c>
      <c r="F2437" s="479">
        <v>200</v>
      </c>
      <c r="G2437" s="589">
        <v>255069.58</v>
      </c>
    </row>
    <row r="2438" spans="3:7" x14ac:dyDescent="0.2">
      <c r="C2438" s="807">
        <v>45646</v>
      </c>
      <c r="D2438" s="331">
        <f t="shared" si="33"/>
        <v>538452.99</v>
      </c>
      <c r="E2438" s="617">
        <v>283183.40999999997</v>
      </c>
      <c r="F2438" s="479">
        <v>200</v>
      </c>
      <c r="G2438" s="589">
        <v>255069.58</v>
      </c>
    </row>
    <row r="2439" spans="3:7" x14ac:dyDescent="0.2">
      <c r="C2439" s="807">
        <v>45649</v>
      </c>
      <c r="D2439" s="331">
        <f t="shared" si="33"/>
        <v>538552.99</v>
      </c>
      <c r="E2439" s="617">
        <v>283283.40999999997</v>
      </c>
      <c r="F2439" s="479">
        <v>200</v>
      </c>
      <c r="G2439" s="589">
        <v>255069.58</v>
      </c>
    </row>
    <row r="2440" spans="3:7" x14ac:dyDescent="0.2">
      <c r="C2440" s="807">
        <v>45649</v>
      </c>
      <c r="D2440" s="331">
        <f t="shared" si="33"/>
        <v>536552.99</v>
      </c>
      <c r="E2440" s="617">
        <v>281283.40999999997</v>
      </c>
      <c r="F2440" s="479">
        <v>200</v>
      </c>
      <c r="G2440" s="589">
        <v>255069.58</v>
      </c>
    </row>
    <row r="2441" spans="3:7" x14ac:dyDescent="0.2">
      <c r="C2441" s="807">
        <v>45649</v>
      </c>
      <c r="D2441" s="331">
        <f t="shared" si="33"/>
        <v>536201.63</v>
      </c>
      <c r="E2441" s="617">
        <v>280932.05</v>
      </c>
      <c r="F2441" s="479">
        <v>200</v>
      </c>
      <c r="G2441" s="589">
        <v>255069.58</v>
      </c>
    </row>
    <row r="2442" spans="3:7" x14ac:dyDescent="0.2">
      <c r="C2442" s="807">
        <v>45652</v>
      </c>
      <c r="D2442" s="331">
        <f t="shared" si="33"/>
        <v>535807.31999999995</v>
      </c>
      <c r="E2442" s="617">
        <v>280537.74</v>
      </c>
      <c r="F2442" s="479">
        <v>200</v>
      </c>
      <c r="G2442" s="589">
        <v>255069.58</v>
      </c>
    </row>
    <row r="2443" spans="3:7" x14ac:dyDescent="0.2">
      <c r="C2443" s="807">
        <v>45652</v>
      </c>
      <c r="D2443" s="331">
        <f t="shared" si="33"/>
        <v>535664.52</v>
      </c>
      <c r="E2443" s="617">
        <v>280394.94</v>
      </c>
      <c r="F2443" s="479">
        <v>200</v>
      </c>
      <c r="G2443" s="589">
        <v>255069.58</v>
      </c>
    </row>
    <row r="2444" spans="3:7" x14ac:dyDescent="0.2">
      <c r="C2444" s="807">
        <v>45652</v>
      </c>
      <c r="D2444" s="331">
        <f t="shared" si="33"/>
        <v>535761.02</v>
      </c>
      <c r="E2444" s="617">
        <v>280491.44</v>
      </c>
      <c r="F2444" s="479">
        <v>200</v>
      </c>
      <c r="G2444" s="589">
        <v>255069.58</v>
      </c>
    </row>
    <row r="2445" spans="3:7" x14ac:dyDescent="0.2">
      <c r="C2445" s="807">
        <v>45652</v>
      </c>
      <c r="D2445" s="331">
        <f t="shared" si="33"/>
        <v>536438.02</v>
      </c>
      <c r="E2445" s="617">
        <v>281168.44</v>
      </c>
      <c r="F2445" s="479">
        <v>200</v>
      </c>
      <c r="G2445" s="589">
        <v>255069.58</v>
      </c>
    </row>
    <row r="2446" spans="3:7" x14ac:dyDescent="0.2">
      <c r="C2446" s="807">
        <v>45653</v>
      </c>
      <c r="D2446" s="331">
        <f t="shared" si="33"/>
        <v>536339.53</v>
      </c>
      <c r="E2446" s="617">
        <v>281069.95</v>
      </c>
      <c r="F2446" s="479">
        <v>200</v>
      </c>
      <c r="G2446" s="589">
        <v>255069.58</v>
      </c>
    </row>
    <row r="2447" spans="3:7" x14ac:dyDescent="0.2">
      <c r="C2447" s="807">
        <v>45653</v>
      </c>
      <c r="D2447" s="331">
        <f t="shared" si="33"/>
        <v>587170.17000000004</v>
      </c>
      <c r="E2447" s="617">
        <v>331900.59000000003</v>
      </c>
      <c r="F2447" s="479">
        <v>200</v>
      </c>
      <c r="G2447" s="589">
        <v>255069.58</v>
      </c>
    </row>
    <row r="2448" spans="3:7" x14ac:dyDescent="0.2">
      <c r="C2448" s="807">
        <v>45653</v>
      </c>
      <c r="D2448" s="331">
        <f t="shared" si="33"/>
        <v>580571.54999999993</v>
      </c>
      <c r="E2448" s="617">
        <v>325301.96999999997</v>
      </c>
      <c r="F2448" s="479">
        <v>200</v>
      </c>
      <c r="G2448" s="589">
        <v>255069.58</v>
      </c>
    </row>
    <row r="2449" spans="3:7" x14ac:dyDescent="0.2">
      <c r="C2449" s="807">
        <v>45653</v>
      </c>
      <c r="D2449" s="331">
        <f t="shared" si="33"/>
        <v>580513.42999999993</v>
      </c>
      <c r="E2449" s="617">
        <v>325243.84999999998</v>
      </c>
      <c r="F2449" s="479">
        <v>200</v>
      </c>
      <c r="G2449" s="589">
        <v>255069.58</v>
      </c>
    </row>
    <row r="2450" spans="3:7" x14ac:dyDescent="0.2">
      <c r="C2450" s="807">
        <v>45653</v>
      </c>
      <c r="D2450" s="331">
        <f t="shared" si="33"/>
        <v>580071.26</v>
      </c>
      <c r="E2450" s="617">
        <v>324801.68</v>
      </c>
      <c r="F2450" s="479">
        <v>200</v>
      </c>
      <c r="G2450" s="589">
        <v>255069.58</v>
      </c>
    </row>
    <row r="2451" spans="3:7" x14ac:dyDescent="0.2">
      <c r="C2451" s="807">
        <v>45653</v>
      </c>
      <c r="D2451" s="331">
        <f t="shared" si="33"/>
        <v>580008.26</v>
      </c>
      <c r="E2451" s="617">
        <v>324738.68</v>
      </c>
      <c r="F2451" s="479">
        <v>200</v>
      </c>
      <c r="G2451" s="589">
        <v>255069.58</v>
      </c>
    </row>
    <row r="2452" spans="3:7" x14ac:dyDescent="0.2">
      <c r="C2452" s="807">
        <v>45653</v>
      </c>
      <c r="D2452" s="331">
        <f t="shared" si="33"/>
        <v>579804.6</v>
      </c>
      <c r="E2452" s="617">
        <v>324535.02</v>
      </c>
      <c r="F2452" s="479">
        <v>200</v>
      </c>
      <c r="G2452" s="589">
        <v>255069.58</v>
      </c>
    </row>
    <row r="2453" spans="3:7" x14ac:dyDescent="0.2">
      <c r="C2453" s="807">
        <v>45653</v>
      </c>
      <c r="D2453" s="331">
        <f t="shared" si="33"/>
        <v>578855.37</v>
      </c>
      <c r="E2453" s="617">
        <v>323585.78999999998</v>
      </c>
      <c r="F2453" s="479">
        <v>200</v>
      </c>
      <c r="G2453" s="589">
        <v>255069.58</v>
      </c>
    </row>
    <row r="2454" spans="3:7" x14ac:dyDescent="0.2">
      <c r="C2454" s="807">
        <v>45653</v>
      </c>
      <c r="D2454" s="331">
        <f t="shared" ref="D2454:D2517" si="34">E2454+F2454+G2454</f>
        <v>578822.67999999993</v>
      </c>
      <c r="E2454" s="617">
        <v>323553.09999999998</v>
      </c>
      <c r="F2454" s="479">
        <v>200</v>
      </c>
      <c r="G2454" s="589">
        <v>255069.58</v>
      </c>
    </row>
    <row r="2455" spans="3:7" x14ac:dyDescent="0.2">
      <c r="C2455" s="807">
        <v>45656</v>
      </c>
      <c r="D2455" s="331">
        <f t="shared" si="34"/>
        <v>544325.26</v>
      </c>
      <c r="E2455" s="617">
        <v>288266.03000000003</v>
      </c>
      <c r="F2455" s="479">
        <v>200</v>
      </c>
      <c r="G2455" s="589">
        <v>255859.23</v>
      </c>
    </row>
    <row r="2456" spans="3:7" x14ac:dyDescent="0.2">
      <c r="C2456" s="807">
        <v>45657</v>
      </c>
      <c r="D2456" s="331">
        <f t="shared" si="34"/>
        <v>544325.26</v>
      </c>
      <c r="E2456" s="617">
        <v>288266.03000000003</v>
      </c>
      <c r="F2456" s="479">
        <v>200</v>
      </c>
      <c r="G2456" s="589">
        <v>255859.23</v>
      </c>
    </row>
    <row r="2457" spans="3:7" x14ac:dyDescent="0.2">
      <c r="C2457" s="807">
        <v>45659</v>
      </c>
      <c r="D2457" s="331">
        <f t="shared" si="34"/>
        <v>545173.66</v>
      </c>
      <c r="E2457" s="617">
        <v>289114.43</v>
      </c>
      <c r="F2457" s="479">
        <v>200</v>
      </c>
      <c r="G2457" s="589">
        <v>255859.23</v>
      </c>
    </row>
    <row r="2458" spans="3:7" x14ac:dyDescent="0.2">
      <c r="C2458" s="807">
        <v>45663</v>
      </c>
      <c r="D2458" s="331">
        <f t="shared" si="34"/>
        <v>544863.68000000005</v>
      </c>
      <c r="E2458" s="617">
        <v>288804.45</v>
      </c>
      <c r="F2458" s="479">
        <v>200</v>
      </c>
      <c r="G2458" s="589">
        <v>255859.23</v>
      </c>
    </row>
    <row r="2459" spans="3:7" x14ac:dyDescent="0.2">
      <c r="C2459" s="807">
        <v>45664</v>
      </c>
      <c r="D2459" s="331">
        <f t="shared" si="34"/>
        <v>544840.68000000005</v>
      </c>
      <c r="E2459" s="617">
        <v>288781.45</v>
      </c>
      <c r="F2459" s="479">
        <v>200</v>
      </c>
      <c r="G2459" s="589">
        <v>255859.23</v>
      </c>
    </row>
    <row r="2460" spans="3:7" x14ac:dyDescent="0.2">
      <c r="C2460" s="807">
        <v>45665</v>
      </c>
      <c r="D2460" s="331">
        <f t="shared" si="34"/>
        <v>566395.73</v>
      </c>
      <c r="E2460" s="617">
        <v>310336.5</v>
      </c>
      <c r="F2460" s="479">
        <v>200</v>
      </c>
      <c r="G2460" s="589">
        <v>255859.23</v>
      </c>
    </row>
    <row r="2461" spans="3:7" x14ac:dyDescent="0.2">
      <c r="C2461" s="807">
        <v>45671</v>
      </c>
      <c r="D2461" s="331">
        <f t="shared" si="34"/>
        <v>527044.18999999994</v>
      </c>
      <c r="E2461" s="617">
        <v>270194.21999999997</v>
      </c>
      <c r="F2461" s="479">
        <v>200</v>
      </c>
      <c r="G2461" s="589">
        <v>256649.97</v>
      </c>
    </row>
    <row r="2462" spans="3:7" x14ac:dyDescent="0.2">
      <c r="C2462" s="807">
        <v>45672</v>
      </c>
      <c r="D2462" s="331">
        <f t="shared" si="34"/>
        <v>527073.05000000005</v>
      </c>
      <c r="E2462" s="617">
        <v>270223.08</v>
      </c>
      <c r="F2462" s="479">
        <v>200</v>
      </c>
      <c r="G2462" s="589">
        <v>256649.97</v>
      </c>
    </row>
    <row r="2463" spans="3:7" x14ac:dyDescent="0.2">
      <c r="C2463" s="807">
        <v>45672</v>
      </c>
      <c r="D2463" s="331">
        <f t="shared" si="34"/>
        <v>527073.05000000005</v>
      </c>
      <c r="E2463" s="617">
        <v>270223.08</v>
      </c>
      <c r="F2463" s="479">
        <v>200</v>
      </c>
      <c r="G2463" s="589">
        <v>256649.97</v>
      </c>
    </row>
    <row r="2464" spans="3:7" x14ac:dyDescent="0.2">
      <c r="C2464" s="807">
        <v>45672</v>
      </c>
      <c r="D2464" s="331">
        <f t="shared" si="34"/>
        <v>527073.05000000005</v>
      </c>
      <c r="E2464" s="617">
        <v>270223.08</v>
      </c>
      <c r="F2464" s="479">
        <v>200</v>
      </c>
      <c r="G2464" s="589">
        <v>256649.97</v>
      </c>
    </row>
    <row r="2465" spans="3:7" x14ac:dyDescent="0.2">
      <c r="C2465" s="807">
        <v>45672</v>
      </c>
      <c r="D2465" s="331">
        <f t="shared" si="34"/>
        <v>527861.25</v>
      </c>
      <c r="E2465" s="617">
        <v>271011.28000000003</v>
      </c>
      <c r="F2465" s="479">
        <v>200</v>
      </c>
      <c r="G2465" s="589">
        <v>256649.97</v>
      </c>
    </row>
    <row r="2466" spans="3:7" x14ac:dyDescent="0.2">
      <c r="C2466" s="807">
        <v>45673</v>
      </c>
      <c r="D2466" s="331">
        <f t="shared" si="34"/>
        <v>527711.25</v>
      </c>
      <c r="E2466" s="617">
        <v>270861.28000000003</v>
      </c>
      <c r="F2466" s="479">
        <v>200</v>
      </c>
      <c r="G2466" s="589">
        <v>256649.97</v>
      </c>
    </row>
    <row r="2467" spans="3:7" x14ac:dyDescent="0.2">
      <c r="C2467" s="807">
        <v>45673</v>
      </c>
      <c r="D2467" s="331">
        <f t="shared" si="34"/>
        <v>524055.78</v>
      </c>
      <c r="E2467" s="617">
        <v>267205.81</v>
      </c>
      <c r="F2467" s="479">
        <v>200</v>
      </c>
      <c r="G2467" s="589">
        <v>256649.97</v>
      </c>
    </row>
    <row r="2468" spans="3:7" x14ac:dyDescent="0.2">
      <c r="C2468" s="807">
        <v>45673</v>
      </c>
      <c r="D2468" s="331">
        <f t="shared" si="34"/>
        <v>523966.91000000003</v>
      </c>
      <c r="E2468" s="617">
        <v>267116.94</v>
      </c>
      <c r="F2468" s="479">
        <v>200</v>
      </c>
      <c r="G2468" s="589">
        <v>256649.97</v>
      </c>
    </row>
    <row r="2469" spans="3:7" x14ac:dyDescent="0.2">
      <c r="C2469" s="807">
        <v>45673</v>
      </c>
      <c r="D2469" s="331">
        <f t="shared" si="34"/>
        <v>523289.08999999997</v>
      </c>
      <c r="E2469" s="617">
        <v>266439.12</v>
      </c>
      <c r="F2469" s="479">
        <v>200</v>
      </c>
      <c r="G2469" s="589">
        <v>256649.97</v>
      </c>
    </row>
    <row r="2470" spans="3:7" x14ac:dyDescent="0.2">
      <c r="C2470" s="807">
        <v>45673</v>
      </c>
      <c r="D2470" s="331">
        <f t="shared" si="34"/>
        <v>522707.93000000005</v>
      </c>
      <c r="E2470" s="617">
        <v>265857.96000000002</v>
      </c>
      <c r="F2470" s="479">
        <v>200</v>
      </c>
      <c r="G2470" s="589">
        <v>256649.97</v>
      </c>
    </row>
    <row r="2471" spans="3:7" x14ac:dyDescent="0.2">
      <c r="C2471" s="807">
        <v>45673</v>
      </c>
      <c r="D2471" s="331">
        <f t="shared" si="34"/>
        <v>522382.93000000005</v>
      </c>
      <c r="E2471" s="617">
        <v>265532.96000000002</v>
      </c>
      <c r="F2471" s="479">
        <v>200</v>
      </c>
      <c r="G2471" s="589">
        <v>256649.97</v>
      </c>
    </row>
    <row r="2472" spans="3:7" x14ac:dyDescent="0.2">
      <c r="C2472" s="807">
        <v>45673</v>
      </c>
      <c r="D2472" s="331">
        <f t="shared" si="34"/>
        <v>522192.53</v>
      </c>
      <c r="E2472" s="617">
        <v>265342.56</v>
      </c>
      <c r="F2472" s="479">
        <v>200</v>
      </c>
      <c r="G2472" s="589">
        <v>256649.97</v>
      </c>
    </row>
    <row r="2473" spans="3:7" x14ac:dyDescent="0.2">
      <c r="C2473" s="807">
        <v>45673</v>
      </c>
      <c r="D2473" s="331">
        <f t="shared" si="34"/>
        <v>519298.83999999997</v>
      </c>
      <c r="E2473" s="617">
        <v>262448.87</v>
      </c>
      <c r="F2473" s="479">
        <v>200</v>
      </c>
      <c r="G2473" s="589">
        <v>256649.97</v>
      </c>
    </row>
    <row r="2474" spans="3:7" x14ac:dyDescent="0.2">
      <c r="C2474" s="807">
        <v>45673</v>
      </c>
      <c r="D2474" s="331">
        <f t="shared" si="34"/>
        <v>518936.1</v>
      </c>
      <c r="E2474" s="617">
        <v>262086.13</v>
      </c>
      <c r="F2474" s="479">
        <v>200</v>
      </c>
      <c r="G2474" s="589">
        <v>256649.97</v>
      </c>
    </row>
    <row r="2475" spans="3:7" x14ac:dyDescent="0.2">
      <c r="C2475" s="807">
        <v>45673</v>
      </c>
      <c r="D2475" s="331">
        <f t="shared" si="34"/>
        <v>518661.35</v>
      </c>
      <c r="E2475" s="617">
        <v>261811.38</v>
      </c>
      <c r="F2475" s="479">
        <v>200</v>
      </c>
      <c r="G2475" s="589">
        <v>256649.97</v>
      </c>
    </row>
    <row r="2476" spans="3:7" x14ac:dyDescent="0.2">
      <c r="C2476" s="807">
        <v>45673</v>
      </c>
      <c r="D2476" s="331">
        <f t="shared" si="34"/>
        <v>518609.56</v>
      </c>
      <c r="E2476" s="617">
        <v>261759.59</v>
      </c>
      <c r="F2476" s="479">
        <v>200</v>
      </c>
      <c r="G2476" s="589">
        <v>256649.97</v>
      </c>
    </row>
    <row r="2477" spans="3:7" x14ac:dyDescent="0.2">
      <c r="C2477" s="807">
        <v>45673</v>
      </c>
      <c r="D2477" s="331">
        <f t="shared" si="34"/>
        <v>518485.12</v>
      </c>
      <c r="E2477" s="617">
        <v>261635.15</v>
      </c>
      <c r="F2477" s="479">
        <v>200</v>
      </c>
      <c r="G2477" s="589">
        <v>256649.97</v>
      </c>
    </row>
    <row r="2478" spans="3:7" x14ac:dyDescent="0.2">
      <c r="C2478" s="807">
        <v>45673</v>
      </c>
      <c r="D2478" s="331">
        <f t="shared" si="34"/>
        <v>517870.45</v>
      </c>
      <c r="E2478" s="617">
        <v>261020.48</v>
      </c>
      <c r="F2478" s="479">
        <v>200</v>
      </c>
      <c r="G2478" s="589">
        <v>256649.97</v>
      </c>
    </row>
    <row r="2479" spans="3:7" x14ac:dyDescent="0.2">
      <c r="C2479" s="807">
        <v>45673</v>
      </c>
      <c r="D2479" s="331">
        <f t="shared" si="34"/>
        <v>517570.45</v>
      </c>
      <c r="E2479" s="617">
        <v>260720.48</v>
      </c>
      <c r="F2479" s="479">
        <v>200</v>
      </c>
      <c r="G2479" s="589">
        <v>256649.97</v>
      </c>
    </row>
    <row r="2480" spans="3:7" x14ac:dyDescent="0.2">
      <c r="C2480" s="807">
        <v>45673</v>
      </c>
      <c r="D2480" s="331">
        <f t="shared" si="34"/>
        <v>517538.58999999997</v>
      </c>
      <c r="E2480" s="617">
        <v>260688.62</v>
      </c>
      <c r="F2480" s="479">
        <v>200</v>
      </c>
      <c r="G2480" s="589">
        <v>256649.97</v>
      </c>
    </row>
    <row r="2481" spans="3:7" x14ac:dyDescent="0.2">
      <c r="C2481" s="807">
        <v>45673</v>
      </c>
      <c r="D2481" s="331">
        <f t="shared" si="34"/>
        <v>517508.64</v>
      </c>
      <c r="E2481" s="617">
        <v>260658.67</v>
      </c>
      <c r="F2481" s="479">
        <v>200</v>
      </c>
      <c r="G2481" s="589">
        <v>256649.97</v>
      </c>
    </row>
    <row r="2482" spans="3:7" x14ac:dyDescent="0.2">
      <c r="C2482" s="807">
        <v>45674</v>
      </c>
      <c r="D2482" s="331">
        <f t="shared" si="34"/>
        <v>517198.66000000003</v>
      </c>
      <c r="E2482" s="730">
        <v>260348.69</v>
      </c>
      <c r="F2482" s="731">
        <v>200</v>
      </c>
      <c r="G2482" s="732">
        <v>256649.97</v>
      </c>
    </row>
    <row r="2483" spans="3:7" x14ac:dyDescent="0.2">
      <c r="C2483" s="807">
        <v>45678</v>
      </c>
      <c r="D2483" s="331">
        <f t="shared" si="34"/>
        <v>521648.66000000003</v>
      </c>
      <c r="E2483" s="617">
        <v>264798.69</v>
      </c>
      <c r="F2483" s="479">
        <v>200</v>
      </c>
      <c r="G2483" s="589">
        <v>256649.97</v>
      </c>
    </row>
    <row r="2484" spans="3:7" x14ac:dyDescent="0.2">
      <c r="C2484" s="807">
        <v>45678</v>
      </c>
      <c r="D2484" s="331">
        <f t="shared" si="34"/>
        <v>538194.97</v>
      </c>
      <c r="E2484" s="617">
        <v>281345</v>
      </c>
      <c r="F2484" s="479">
        <v>200</v>
      </c>
      <c r="G2484" s="589">
        <v>256649.97</v>
      </c>
    </row>
    <row r="2485" spans="3:7" x14ac:dyDescent="0.2">
      <c r="C2485" s="807">
        <v>45678</v>
      </c>
      <c r="D2485" s="331">
        <f t="shared" si="34"/>
        <v>551196.84</v>
      </c>
      <c r="E2485" s="617">
        <v>294346.87</v>
      </c>
      <c r="F2485" s="479">
        <v>200</v>
      </c>
      <c r="G2485" s="589">
        <v>256649.97</v>
      </c>
    </row>
    <row r="2486" spans="3:7" x14ac:dyDescent="0.2">
      <c r="C2486" s="807">
        <v>45678</v>
      </c>
      <c r="D2486" s="331">
        <f t="shared" si="34"/>
        <v>548130.44999999995</v>
      </c>
      <c r="E2486" s="617">
        <v>291280.48</v>
      </c>
      <c r="F2486" s="479">
        <v>200</v>
      </c>
      <c r="G2486" s="589">
        <v>256649.97</v>
      </c>
    </row>
    <row r="2487" spans="3:7" x14ac:dyDescent="0.2">
      <c r="C2487" s="807">
        <v>45679</v>
      </c>
      <c r="D2487" s="331">
        <f t="shared" si="34"/>
        <v>547980.44999999995</v>
      </c>
      <c r="E2487" s="617">
        <v>291130.48</v>
      </c>
      <c r="F2487" s="479">
        <v>200</v>
      </c>
      <c r="G2487" s="589">
        <v>256649.97</v>
      </c>
    </row>
    <row r="2488" spans="3:7" x14ac:dyDescent="0.2">
      <c r="C2488" s="807">
        <v>45679</v>
      </c>
      <c r="D2488" s="331">
        <f t="shared" si="34"/>
        <v>547980.44999999995</v>
      </c>
      <c r="E2488" s="617">
        <v>291130.48</v>
      </c>
      <c r="F2488" s="479">
        <v>200</v>
      </c>
      <c r="G2488" s="589">
        <v>256649.97</v>
      </c>
    </row>
    <row r="2489" spans="3:7" x14ac:dyDescent="0.2">
      <c r="C2489" s="807">
        <v>45679</v>
      </c>
      <c r="D2489" s="331">
        <f t="shared" si="34"/>
        <v>547930.44999999995</v>
      </c>
      <c r="E2489" s="617">
        <v>291080.48</v>
      </c>
      <c r="F2489" s="479">
        <v>200</v>
      </c>
      <c r="G2489" s="589">
        <v>256649.97</v>
      </c>
    </row>
    <row r="2490" spans="3:7" x14ac:dyDescent="0.2">
      <c r="C2490" s="807">
        <v>45680</v>
      </c>
      <c r="D2490" s="331">
        <f t="shared" si="34"/>
        <v>568182.62</v>
      </c>
      <c r="E2490" s="617">
        <v>311332.65000000002</v>
      </c>
      <c r="F2490" s="479">
        <v>200</v>
      </c>
      <c r="G2490" s="589">
        <v>256649.97</v>
      </c>
    </row>
    <row r="2491" spans="3:7" x14ac:dyDescent="0.2">
      <c r="C2491" s="807">
        <v>45684</v>
      </c>
      <c r="D2491" s="331">
        <f t="shared" si="34"/>
        <v>567633.55000000005</v>
      </c>
      <c r="E2491" s="617">
        <v>310783.58</v>
      </c>
      <c r="F2491" s="479">
        <v>200</v>
      </c>
      <c r="G2491" s="589">
        <v>256649.97</v>
      </c>
    </row>
    <row r="2492" spans="3:7" x14ac:dyDescent="0.2">
      <c r="C2492" s="807">
        <v>45685</v>
      </c>
      <c r="D2492" s="331">
        <f t="shared" si="34"/>
        <v>532764.98</v>
      </c>
      <c r="E2492" s="617">
        <v>275915.01</v>
      </c>
      <c r="F2492" s="479">
        <v>200</v>
      </c>
      <c r="G2492" s="589">
        <v>256649.97</v>
      </c>
    </row>
    <row r="2493" spans="3:7" x14ac:dyDescent="0.2">
      <c r="C2493" s="807">
        <v>45685</v>
      </c>
      <c r="D2493" s="331">
        <f t="shared" si="34"/>
        <v>532732.29</v>
      </c>
      <c r="E2493" s="617">
        <v>275882.32</v>
      </c>
      <c r="F2493" s="479">
        <v>200</v>
      </c>
      <c r="G2493" s="589">
        <v>256649.97</v>
      </c>
    </row>
    <row r="2494" spans="3:7" x14ac:dyDescent="0.2">
      <c r="C2494" s="807">
        <v>45686</v>
      </c>
      <c r="D2494" s="331">
        <f t="shared" si="34"/>
        <v>532305.86</v>
      </c>
      <c r="E2494" s="617">
        <v>275455.89</v>
      </c>
      <c r="F2494" s="479">
        <v>200</v>
      </c>
      <c r="G2494" s="589">
        <v>256649.97</v>
      </c>
    </row>
    <row r="2495" spans="3:7" x14ac:dyDescent="0.2">
      <c r="C2495" s="807">
        <v>45686</v>
      </c>
      <c r="D2495" s="331">
        <f t="shared" si="34"/>
        <v>531883.48</v>
      </c>
      <c r="E2495" s="617">
        <v>275033.51</v>
      </c>
      <c r="F2495" s="479">
        <v>200</v>
      </c>
      <c r="G2495" s="589">
        <v>256649.97</v>
      </c>
    </row>
    <row r="2496" spans="3:7" x14ac:dyDescent="0.2">
      <c r="C2496" s="807">
        <v>45686</v>
      </c>
      <c r="D2496" s="331">
        <f t="shared" si="34"/>
        <v>531791.48</v>
      </c>
      <c r="E2496" s="617">
        <v>274941.51</v>
      </c>
      <c r="F2496" s="479">
        <v>200</v>
      </c>
      <c r="G2496" s="589">
        <v>256649.97</v>
      </c>
    </row>
    <row r="2497" spans="3:7" x14ac:dyDescent="0.2">
      <c r="C2497" s="807">
        <v>45686</v>
      </c>
      <c r="D2497" s="331">
        <f t="shared" si="34"/>
        <v>529702.51</v>
      </c>
      <c r="E2497" s="617">
        <v>272852.53999999998</v>
      </c>
      <c r="F2497" s="479">
        <v>200</v>
      </c>
      <c r="G2497" s="589">
        <v>256649.97</v>
      </c>
    </row>
    <row r="2498" spans="3:7" x14ac:dyDescent="0.2">
      <c r="C2498" s="807">
        <v>45687</v>
      </c>
      <c r="D2498" s="331">
        <f t="shared" si="34"/>
        <v>529914.51</v>
      </c>
      <c r="E2498" s="617">
        <v>273064.53999999998</v>
      </c>
      <c r="F2498" s="479">
        <v>200</v>
      </c>
      <c r="G2498" s="589">
        <v>256649.97</v>
      </c>
    </row>
    <row r="2499" spans="3:7" x14ac:dyDescent="0.2">
      <c r="C2499" s="807">
        <v>45688</v>
      </c>
      <c r="D2499" s="331">
        <f t="shared" si="34"/>
        <v>528738.86</v>
      </c>
      <c r="E2499" s="617">
        <v>271888.89</v>
      </c>
      <c r="F2499" s="479">
        <v>200</v>
      </c>
      <c r="G2499" s="589">
        <v>256649.97</v>
      </c>
    </row>
    <row r="2500" spans="3:7" x14ac:dyDescent="0.2">
      <c r="C2500" s="807">
        <v>45688</v>
      </c>
      <c r="D2500" s="331">
        <f t="shared" si="34"/>
        <v>528428.88</v>
      </c>
      <c r="E2500" s="617">
        <v>271578.90999999997</v>
      </c>
      <c r="F2500" s="479">
        <v>200</v>
      </c>
      <c r="G2500" s="589">
        <v>256649.97</v>
      </c>
    </row>
    <row r="2501" spans="3:7" x14ac:dyDescent="0.2">
      <c r="C2501" s="807">
        <v>45691</v>
      </c>
      <c r="D2501" s="331">
        <f t="shared" si="34"/>
        <v>577620.79</v>
      </c>
      <c r="E2501" s="617">
        <v>320770.82</v>
      </c>
      <c r="F2501" s="479">
        <v>200</v>
      </c>
      <c r="G2501" s="589">
        <v>256649.97</v>
      </c>
    </row>
    <row r="2502" spans="3:7" x14ac:dyDescent="0.2">
      <c r="C2502" s="807">
        <v>45691</v>
      </c>
      <c r="D2502" s="331">
        <f t="shared" si="34"/>
        <v>577570.79</v>
      </c>
      <c r="E2502" s="617">
        <v>320720.82</v>
      </c>
      <c r="F2502" s="479">
        <v>200</v>
      </c>
      <c r="G2502" s="589">
        <v>256649.97</v>
      </c>
    </row>
    <row r="2503" spans="3:7" x14ac:dyDescent="0.2">
      <c r="C2503" s="807">
        <v>45694</v>
      </c>
      <c r="D2503" s="331">
        <f t="shared" si="34"/>
        <v>577570.79</v>
      </c>
      <c r="E2503" s="617">
        <v>320720.82</v>
      </c>
      <c r="F2503" s="479">
        <v>200</v>
      </c>
      <c r="G2503" s="589">
        <v>256649.97</v>
      </c>
    </row>
    <row r="2504" spans="3:7" x14ac:dyDescent="0.2">
      <c r="C2504" s="807">
        <v>45694</v>
      </c>
      <c r="D2504" s="331">
        <f t="shared" si="34"/>
        <v>577274.67000000004</v>
      </c>
      <c r="E2504" s="617">
        <v>320424.7</v>
      </c>
      <c r="F2504" s="479">
        <v>200</v>
      </c>
      <c r="G2504" s="589">
        <v>256649.97</v>
      </c>
    </row>
    <row r="2505" spans="3:7" x14ac:dyDescent="0.2">
      <c r="C2505" s="807">
        <v>45694</v>
      </c>
      <c r="D2505" s="331">
        <f t="shared" si="34"/>
        <v>577010.17000000004</v>
      </c>
      <c r="E2505" s="617">
        <v>320160.2</v>
      </c>
      <c r="F2505" s="479">
        <v>200</v>
      </c>
      <c r="G2505" s="589">
        <v>256649.97</v>
      </c>
    </row>
    <row r="2506" spans="3:7" x14ac:dyDescent="0.2">
      <c r="C2506" s="807">
        <v>45694</v>
      </c>
      <c r="D2506" s="331">
        <f t="shared" si="34"/>
        <v>576996.14</v>
      </c>
      <c r="E2506" s="617">
        <v>320146.17</v>
      </c>
      <c r="F2506" s="479">
        <v>200</v>
      </c>
      <c r="G2506" s="589">
        <v>256649.97</v>
      </c>
    </row>
    <row r="2507" spans="3:7" x14ac:dyDescent="0.2">
      <c r="C2507" s="807">
        <v>45694</v>
      </c>
      <c r="D2507" s="331">
        <f t="shared" si="34"/>
        <v>576643.97</v>
      </c>
      <c r="E2507" s="617">
        <v>319794</v>
      </c>
      <c r="F2507" s="479">
        <v>200</v>
      </c>
      <c r="G2507" s="589">
        <v>256649.97</v>
      </c>
    </row>
    <row r="2508" spans="3:7" x14ac:dyDescent="0.2">
      <c r="C2508" s="807">
        <v>45694</v>
      </c>
      <c r="D2508" s="331">
        <f t="shared" si="34"/>
        <v>576328.97</v>
      </c>
      <c r="E2508" s="617">
        <v>319479</v>
      </c>
      <c r="F2508" s="479">
        <v>200</v>
      </c>
      <c r="G2508" s="589">
        <v>256649.97</v>
      </c>
    </row>
    <row r="2509" spans="3:7" x14ac:dyDescent="0.2">
      <c r="C2509" s="807">
        <v>45694</v>
      </c>
      <c r="D2509" s="331">
        <f t="shared" si="34"/>
        <v>575733.97</v>
      </c>
      <c r="E2509" s="617">
        <v>318884</v>
      </c>
      <c r="F2509" s="479">
        <v>200</v>
      </c>
      <c r="G2509" s="589">
        <v>256649.97</v>
      </c>
    </row>
    <row r="2510" spans="3:7" x14ac:dyDescent="0.2">
      <c r="C2510" s="807">
        <v>45694</v>
      </c>
      <c r="D2510" s="331">
        <f t="shared" si="34"/>
        <v>575608.97</v>
      </c>
      <c r="E2510" s="617">
        <v>318759</v>
      </c>
      <c r="F2510" s="479">
        <v>200</v>
      </c>
      <c r="G2510" s="589">
        <v>256649.97</v>
      </c>
    </row>
    <row r="2511" spans="3:7" x14ac:dyDescent="0.2">
      <c r="C2511" s="807">
        <v>45694</v>
      </c>
      <c r="D2511" s="331">
        <f t="shared" si="34"/>
        <v>575555.44999999995</v>
      </c>
      <c r="E2511" s="617">
        <v>318705.48</v>
      </c>
      <c r="F2511" s="479">
        <v>200</v>
      </c>
      <c r="G2511" s="589">
        <v>256649.97</v>
      </c>
    </row>
    <row r="2512" spans="3:7" x14ac:dyDescent="0.2">
      <c r="C2512" s="807">
        <v>45694</v>
      </c>
      <c r="D2512" s="331">
        <f t="shared" si="34"/>
        <v>570469.09</v>
      </c>
      <c r="E2512" s="617">
        <v>313619.12</v>
      </c>
      <c r="F2512" s="479">
        <v>200</v>
      </c>
      <c r="G2512" s="589">
        <v>256649.97</v>
      </c>
    </row>
    <row r="2513" spans="3:7" x14ac:dyDescent="0.2">
      <c r="C2513" s="807">
        <v>45694</v>
      </c>
      <c r="D2513" s="331">
        <f t="shared" si="34"/>
        <v>570358.43999999994</v>
      </c>
      <c r="E2513" s="617">
        <v>313508.46999999997</v>
      </c>
      <c r="F2513" s="479">
        <v>200</v>
      </c>
      <c r="G2513" s="589">
        <v>256649.97</v>
      </c>
    </row>
    <row r="2514" spans="3:7" x14ac:dyDescent="0.2">
      <c r="C2514" s="807">
        <v>45694</v>
      </c>
      <c r="D2514" s="331">
        <f t="shared" si="34"/>
        <v>570283.44999999995</v>
      </c>
      <c r="E2514" s="617">
        <v>313433.48</v>
      </c>
      <c r="F2514" s="479">
        <v>200</v>
      </c>
      <c r="G2514" s="589">
        <v>256649.97</v>
      </c>
    </row>
    <row r="2515" spans="3:7" x14ac:dyDescent="0.2">
      <c r="C2515" s="807">
        <v>45694</v>
      </c>
      <c r="D2515" s="331">
        <f t="shared" si="34"/>
        <v>569673.63</v>
      </c>
      <c r="E2515" s="617">
        <v>312823.65999999997</v>
      </c>
      <c r="F2515" s="479">
        <v>200</v>
      </c>
      <c r="G2515" s="589">
        <v>256649.97</v>
      </c>
    </row>
    <row r="2516" spans="3:7" x14ac:dyDescent="0.2">
      <c r="C2516" s="807">
        <v>45694</v>
      </c>
      <c r="D2516" s="331">
        <f t="shared" si="34"/>
        <v>569655.98</v>
      </c>
      <c r="E2516" s="617">
        <v>312806.01</v>
      </c>
      <c r="F2516" s="479">
        <v>200</v>
      </c>
      <c r="G2516" s="589">
        <v>256649.97</v>
      </c>
    </row>
    <row r="2517" spans="3:7" x14ac:dyDescent="0.2">
      <c r="C2517" s="807">
        <v>45694</v>
      </c>
      <c r="D2517" s="331">
        <f t="shared" si="34"/>
        <v>569634.98</v>
      </c>
      <c r="E2517" s="617">
        <v>312785.01</v>
      </c>
      <c r="F2517" s="479">
        <v>200</v>
      </c>
      <c r="G2517" s="589">
        <v>256649.97</v>
      </c>
    </row>
    <row r="2518" spans="3:7" x14ac:dyDescent="0.2">
      <c r="C2518" s="807">
        <v>45694</v>
      </c>
      <c r="D2518" s="331">
        <f t="shared" ref="D2518:D2581" si="35">E2518+F2518+G2518</f>
        <v>569507.01</v>
      </c>
      <c r="E2518" s="617">
        <v>312657.03999999998</v>
      </c>
      <c r="F2518" s="479">
        <v>200</v>
      </c>
      <c r="G2518" s="589">
        <v>256649.97</v>
      </c>
    </row>
    <row r="2519" spans="3:7" x14ac:dyDescent="0.2">
      <c r="C2519" s="807">
        <v>45694</v>
      </c>
      <c r="D2519" s="331">
        <f t="shared" si="35"/>
        <v>569357.01</v>
      </c>
      <c r="E2519" s="617">
        <v>312507.03999999998</v>
      </c>
      <c r="F2519" s="479">
        <v>200</v>
      </c>
      <c r="G2519" s="589">
        <v>256649.97</v>
      </c>
    </row>
    <row r="2520" spans="3:7" x14ac:dyDescent="0.2">
      <c r="C2520" s="807">
        <v>45694</v>
      </c>
      <c r="D2520" s="331">
        <f t="shared" si="35"/>
        <v>569207.01</v>
      </c>
      <c r="E2520" s="617">
        <v>312357.03999999998</v>
      </c>
      <c r="F2520" s="479">
        <v>200</v>
      </c>
      <c r="G2520" s="589">
        <v>256649.97</v>
      </c>
    </row>
    <row r="2521" spans="3:7" x14ac:dyDescent="0.2">
      <c r="C2521" s="807">
        <v>45694</v>
      </c>
      <c r="D2521" s="331">
        <f t="shared" si="35"/>
        <v>569172.51</v>
      </c>
      <c r="E2521" s="617">
        <v>312322.53999999998</v>
      </c>
      <c r="F2521" s="479">
        <v>200</v>
      </c>
      <c r="G2521" s="589">
        <v>256649.97</v>
      </c>
    </row>
    <row r="2522" spans="3:7" x14ac:dyDescent="0.2">
      <c r="C2522" s="807">
        <v>45695</v>
      </c>
      <c r="D2522" s="331">
        <f t="shared" si="35"/>
        <v>569717.51</v>
      </c>
      <c r="E2522" s="617">
        <v>312867.53999999998</v>
      </c>
      <c r="F2522" s="479">
        <v>200</v>
      </c>
      <c r="G2522" s="589">
        <v>256649.97</v>
      </c>
    </row>
    <row r="2523" spans="3:7" x14ac:dyDescent="0.2">
      <c r="C2523" s="807">
        <v>45695</v>
      </c>
      <c r="D2523" s="331">
        <f t="shared" si="35"/>
        <v>570147.51</v>
      </c>
      <c r="E2523" s="617">
        <v>313297.53999999998</v>
      </c>
      <c r="F2523" s="479">
        <v>200</v>
      </c>
      <c r="G2523" s="589">
        <v>256649.97</v>
      </c>
    </row>
    <row r="2524" spans="3:7" x14ac:dyDescent="0.2">
      <c r="C2524" s="807">
        <v>45699</v>
      </c>
      <c r="D2524" s="331">
        <f t="shared" si="35"/>
        <v>535120.71</v>
      </c>
      <c r="E2524" s="617">
        <v>278270.74</v>
      </c>
      <c r="F2524" s="479">
        <v>200</v>
      </c>
      <c r="G2524" s="589">
        <v>256649.97</v>
      </c>
    </row>
    <row r="2525" spans="3:7" x14ac:dyDescent="0.2">
      <c r="C2525" s="807">
        <v>45700</v>
      </c>
      <c r="D2525" s="331">
        <f t="shared" si="35"/>
        <v>535486.71</v>
      </c>
      <c r="E2525" s="617">
        <v>278636.74</v>
      </c>
      <c r="F2525" s="479">
        <v>200</v>
      </c>
      <c r="G2525" s="589">
        <v>256649.97</v>
      </c>
    </row>
    <row r="2526" spans="3:7" x14ac:dyDescent="0.2">
      <c r="C2526" s="807">
        <v>45701</v>
      </c>
      <c r="D2526" s="331">
        <f t="shared" si="35"/>
        <v>535516.71</v>
      </c>
      <c r="E2526" s="617">
        <v>278666.74</v>
      </c>
      <c r="F2526" s="479">
        <v>200</v>
      </c>
      <c r="G2526" s="589">
        <v>256649.97</v>
      </c>
    </row>
    <row r="2527" spans="3:7" x14ac:dyDescent="0.2">
      <c r="C2527" s="807">
        <v>45701</v>
      </c>
      <c r="D2527" s="331">
        <f t="shared" si="35"/>
        <v>536161.71</v>
      </c>
      <c r="E2527" s="617">
        <v>279311.74</v>
      </c>
      <c r="F2527" s="479">
        <v>200</v>
      </c>
      <c r="G2527" s="589">
        <v>256649.97</v>
      </c>
    </row>
    <row r="2528" spans="3:7" x14ac:dyDescent="0.2">
      <c r="C2528" s="807">
        <v>45701</v>
      </c>
      <c r="D2528" s="331">
        <f t="shared" si="35"/>
        <v>550880.04</v>
      </c>
      <c r="E2528" s="617">
        <v>294030.07</v>
      </c>
      <c r="F2528" s="479">
        <v>200</v>
      </c>
      <c r="G2528" s="589">
        <v>256649.97</v>
      </c>
    </row>
    <row r="2529" spans="3:7" x14ac:dyDescent="0.2">
      <c r="C2529" s="807">
        <v>45701</v>
      </c>
      <c r="D2529" s="331">
        <f t="shared" si="35"/>
        <v>550830.04</v>
      </c>
      <c r="E2529" s="617">
        <v>293980.07</v>
      </c>
      <c r="F2529" s="479">
        <v>200</v>
      </c>
      <c r="G2529" s="589">
        <v>256649.97</v>
      </c>
    </row>
    <row r="2530" spans="3:7" x14ac:dyDescent="0.2">
      <c r="C2530" s="807">
        <v>45701</v>
      </c>
      <c r="D2530" s="331">
        <f t="shared" si="35"/>
        <v>547456.56999999995</v>
      </c>
      <c r="E2530" s="617">
        <v>290606.59999999998</v>
      </c>
      <c r="F2530" s="479">
        <v>200</v>
      </c>
      <c r="G2530" s="589">
        <v>256649.97</v>
      </c>
    </row>
    <row r="2531" spans="3:7" x14ac:dyDescent="0.2">
      <c r="C2531" s="807">
        <v>45701</v>
      </c>
      <c r="D2531" s="331">
        <f t="shared" si="35"/>
        <v>547019.71</v>
      </c>
      <c r="E2531" s="617">
        <v>290169.74</v>
      </c>
      <c r="F2531" s="479">
        <v>200</v>
      </c>
      <c r="G2531" s="589">
        <v>256649.97</v>
      </c>
    </row>
    <row r="2532" spans="3:7" x14ac:dyDescent="0.2">
      <c r="C2532" s="807">
        <v>45701</v>
      </c>
      <c r="D2532" s="331">
        <f t="shared" si="35"/>
        <v>546958.80000000005</v>
      </c>
      <c r="E2532" s="617">
        <v>290108.83</v>
      </c>
      <c r="F2532" s="479">
        <v>200</v>
      </c>
      <c r="G2532" s="589">
        <v>256649.97</v>
      </c>
    </row>
    <row r="2533" spans="3:7" x14ac:dyDescent="0.2">
      <c r="C2533" s="807">
        <v>45701</v>
      </c>
      <c r="D2533" s="331">
        <f t="shared" si="35"/>
        <v>546637.5</v>
      </c>
      <c r="E2533" s="617">
        <v>289787.53000000003</v>
      </c>
      <c r="F2533" s="479">
        <v>200</v>
      </c>
      <c r="G2533" s="589">
        <v>256649.97</v>
      </c>
    </row>
    <row r="2534" spans="3:7" x14ac:dyDescent="0.2">
      <c r="C2534" s="807">
        <v>45701</v>
      </c>
      <c r="D2534" s="331">
        <f t="shared" si="35"/>
        <v>546198.81999999995</v>
      </c>
      <c r="E2534" s="617">
        <v>289348.84999999998</v>
      </c>
      <c r="F2534" s="479">
        <v>200</v>
      </c>
      <c r="G2534" s="589">
        <v>256649.97</v>
      </c>
    </row>
    <row r="2535" spans="3:7" x14ac:dyDescent="0.2">
      <c r="C2535" s="807">
        <v>45701</v>
      </c>
      <c r="D2535" s="331">
        <f t="shared" si="35"/>
        <v>546125.53</v>
      </c>
      <c r="E2535" s="617">
        <v>289275.56</v>
      </c>
      <c r="F2535" s="479">
        <v>200</v>
      </c>
      <c r="G2535" s="589">
        <v>256649.97</v>
      </c>
    </row>
    <row r="2536" spans="3:7" x14ac:dyDescent="0.2">
      <c r="C2536" s="807">
        <v>45701</v>
      </c>
      <c r="D2536" s="331">
        <f t="shared" si="35"/>
        <v>546000.24</v>
      </c>
      <c r="E2536" s="617">
        <v>289150.27</v>
      </c>
      <c r="F2536" s="479">
        <v>200</v>
      </c>
      <c r="G2536" s="589">
        <v>256649.97</v>
      </c>
    </row>
    <row r="2537" spans="3:7" x14ac:dyDescent="0.2">
      <c r="C2537" s="807">
        <v>45701</v>
      </c>
      <c r="D2537" s="331">
        <f t="shared" si="35"/>
        <v>545896.64</v>
      </c>
      <c r="E2537" s="617">
        <v>289046.67</v>
      </c>
      <c r="F2537" s="479">
        <v>200</v>
      </c>
      <c r="G2537" s="589">
        <v>256649.97</v>
      </c>
    </row>
    <row r="2538" spans="3:7" x14ac:dyDescent="0.2">
      <c r="C2538" s="807">
        <v>45702</v>
      </c>
      <c r="D2538" s="331">
        <f t="shared" si="35"/>
        <v>545923.49</v>
      </c>
      <c r="E2538" s="617">
        <v>289073.52</v>
      </c>
      <c r="F2538" s="479">
        <v>200</v>
      </c>
      <c r="G2538" s="589">
        <v>256649.97</v>
      </c>
    </row>
    <row r="2539" spans="3:7" x14ac:dyDescent="0.2">
      <c r="C2539" s="807">
        <v>45706</v>
      </c>
      <c r="D2539" s="331">
        <f t="shared" si="35"/>
        <v>545642.31999999995</v>
      </c>
      <c r="E2539" s="617">
        <v>288792.34999999998</v>
      </c>
      <c r="F2539" s="479">
        <v>200</v>
      </c>
      <c r="G2539" s="589">
        <v>256649.97</v>
      </c>
    </row>
    <row r="2540" spans="3:7" x14ac:dyDescent="0.2">
      <c r="C2540" s="807">
        <v>45708</v>
      </c>
      <c r="D2540" s="331">
        <f t="shared" si="35"/>
        <v>562800.30000000005</v>
      </c>
      <c r="E2540" s="617">
        <v>305950.33</v>
      </c>
      <c r="F2540" s="479">
        <v>200</v>
      </c>
      <c r="G2540" s="589">
        <v>256649.97</v>
      </c>
    </row>
    <row r="2541" spans="3:7" x14ac:dyDescent="0.2">
      <c r="C2541" s="807">
        <v>45708</v>
      </c>
      <c r="D2541" s="331">
        <f t="shared" si="35"/>
        <v>559882.41</v>
      </c>
      <c r="E2541" s="617">
        <v>303032.44</v>
      </c>
      <c r="F2541" s="479">
        <v>200</v>
      </c>
      <c r="G2541" s="589">
        <v>256649.97</v>
      </c>
    </row>
    <row r="2542" spans="3:7" x14ac:dyDescent="0.2">
      <c r="C2542" s="807">
        <v>45709</v>
      </c>
      <c r="D2542" s="331">
        <f t="shared" si="35"/>
        <v>559828.89</v>
      </c>
      <c r="E2542" s="617">
        <v>302978.92</v>
      </c>
      <c r="F2542" s="479">
        <v>200</v>
      </c>
      <c r="G2542" s="589">
        <v>256649.97</v>
      </c>
    </row>
    <row r="2543" spans="3:7" x14ac:dyDescent="0.2">
      <c r="C2543" s="807">
        <v>45709</v>
      </c>
      <c r="D2543" s="331">
        <f t="shared" si="35"/>
        <v>559618.99</v>
      </c>
      <c r="E2543" s="617">
        <v>302769.02</v>
      </c>
      <c r="F2543" s="479">
        <v>200</v>
      </c>
      <c r="G2543" s="589">
        <v>256649.97</v>
      </c>
    </row>
    <row r="2544" spans="3:7" x14ac:dyDescent="0.2">
      <c r="C2544" s="807">
        <v>45709</v>
      </c>
      <c r="D2544" s="331">
        <f t="shared" si="35"/>
        <v>553735.16</v>
      </c>
      <c r="E2544" s="617">
        <v>296885.19</v>
      </c>
      <c r="F2544" s="479">
        <v>200</v>
      </c>
      <c r="G2544" s="589">
        <v>256649.97</v>
      </c>
    </row>
    <row r="2545" spans="3:7" x14ac:dyDescent="0.2">
      <c r="C2545" s="807">
        <v>45709</v>
      </c>
      <c r="D2545" s="331">
        <f t="shared" si="35"/>
        <v>553600.16</v>
      </c>
      <c r="E2545" s="617">
        <v>296750.19</v>
      </c>
      <c r="F2545" s="479">
        <v>200</v>
      </c>
      <c r="G2545" s="589">
        <v>256649.97</v>
      </c>
    </row>
    <row r="2546" spans="3:7" x14ac:dyDescent="0.2">
      <c r="C2546" s="807">
        <v>45709</v>
      </c>
      <c r="D2546" s="331">
        <f t="shared" si="35"/>
        <v>553214.66</v>
      </c>
      <c r="E2546" s="617">
        <v>296364.69</v>
      </c>
      <c r="F2546" s="479">
        <v>200</v>
      </c>
      <c r="G2546" s="589">
        <v>256649.97</v>
      </c>
    </row>
    <row r="2547" spans="3:7" x14ac:dyDescent="0.2">
      <c r="C2547" s="807">
        <v>45709</v>
      </c>
      <c r="D2547" s="331">
        <f t="shared" si="35"/>
        <v>552947.65</v>
      </c>
      <c r="E2547" s="617">
        <v>296097.68</v>
      </c>
      <c r="F2547" s="479">
        <v>200</v>
      </c>
      <c r="G2547" s="589">
        <v>256649.97</v>
      </c>
    </row>
    <row r="2548" spans="3:7" x14ac:dyDescent="0.2">
      <c r="C2548" s="807">
        <v>45709</v>
      </c>
      <c r="D2548" s="331">
        <f t="shared" si="35"/>
        <v>552282.37</v>
      </c>
      <c r="E2548" s="617">
        <v>295432.40000000002</v>
      </c>
      <c r="F2548" s="479">
        <v>200</v>
      </c>
      <c r="G2548" s="589">
        <v>256649.97</v>
      </c>
    </row>
    <row r="2549" spans="3:7" x14ac:dyDescent="0.2">
      <c r="C2549" s="807">
        <v>45709</v>
      </c>
      <c r="D2549" s="331">
        <f t="shared" si="35"/>
        <v>552240.38</v>
      </c>
      <c r="E2549" s="617">
        <v>295390.40999999997</v>
      </c>
      <c r="F2549" s="479">
        <v>200</v>
      </c>
      <c r="G2549" s="589">
        <v>256649.97</v>
      </c>
    </row>
    <row r="2550" spans="3:7" x14ac:dyDescent="0.2">
      <c r="C2550" s="807">
        <v>45709</v>
      </c>
      <c r="D2550" s="331">
        <f t="shared" si="35"/>
        <v>548111.06000000006</v>
      </c>
      <c r="E2550" s="617">
        <v>291261.09000000003</v>
      </c>
      <c r="F2550" s="479">
        <v>200</v>
      </c>
      <c r="G2550" s="589">
        <v>256649.97</v>
      </c>
    </row>
    <row r="2551" spans="3:7" x14ac:dyDescent="0.2">
      <c r="C2551" s="807">
        <v>45709</v>
      </c>
      <c r="D2551" s="331">
        <f t="shared" si="35"/>
        <v>547875.62</v>
      </c>
      <c r="E2551" s="617">
        <v>291025.65000000002</v>
      </c>
      <c r="F2551" s="479">
        <v>200</v>
      </c>
      <c r="G2551" s="589">
        <v>256649.97</v>
      </c>
    </row>
    <row r="2552" spans="3:7" x14ac:dyDescent="0.2">
      <c r="C2552" s="807">
        <v>45709</v>
      </c>
      <c r="D2552" s="331">
        <f t="shared" si="35"/>
        <v>547830.63</v>
      </c>
      <c r="E2552" s="617">
        <v>290980.65999999997</v>
      </c>
      <c r="F2552" s="479">
        <v>200</v>
      </c>
      <c r="G2552" s="589">
        <v>256649.97</v>
      </c>
    </row>
    <row r="2553" spans="3:7" x14ac:dyDescent="0.2">
      <c r="C2553" s="807">
        <v>45709</v>
      </c>
      <c r="D2553" s="331">
        <f t="shared" si="35"/>
        <v>547450.31000000006</v>
      </c>
      <c r="E2553" s="617">
        <v>290600.34000000003</v>
      </c>
      <c r="F2553" s="479">
        <v>200</v>
      </c>
      <c r="G2553" s="589">
        <v>256649.97</v>
      </c>
    </row>
    <row r="2554" spans="3:7" x14ac:dyDescent="0.2">
      <c r="C2554" s="807">
        <v>45709</v>
      </c>
      <c r="D2554" s="331">
        <f t="shared" si="35"/>
        <v>540835.31000000006</v>
      </c>
      <c r="E2554" s="617">
        <v>283985.34000000003</v>
      </c>
      <c r="F2554" s="479">
        <v>200</v>
      </c>
      <c r="G2554" s="589">
        <v>256649.97</v>
      </c>
    </row>
    <row r="2555" spans="3:7" x14ac:dyDescent="0.2">
      <c r="C2555" s="807">
        <v>45709</v>
      </c>
      <c r="D2555" s="331">
        <f t="shared" si="35"/>
        <v>540221.63</v>
      </c>
      <c r="E2555" s="617">
        <v>283371.65999999997</v>
      </c>
      <c r="F2555" s="479">
        <v>200</v>
      </c>
      <c r="G2555" s="589">
        <v>256649.97</v>
      </c>
    </row>
    <row r="2556" spans="3:7" x14ac:dyDescent="0.2">
      <c r="C2556" s="807">
        <v>45709</v>
      </c>
      <c r="D2556" s="331">
        <f t="shared" si="35"/>
        <v>540132.65</v>
      </c>
      <c r="E2556" s="617">
        <v>283282.68</v>
      </c>
      <c r="F2556" s="479">
        <v>200</v>
      </c>
      <c r="G2556" s="589">
        <v>256649.97</v>
      </c>
    </row>
    <row r="2557" spans="3:7" x14ac:dyDescent="0.2">
      <c r="C2557" s="807">
        <v>45709</v>
      </c>
      <c r="D2557" s="331">
        <f t="shared" si="35"/>
        <v>540060.18000000005</v>
      </c>
      <c r="E2557" s="617">
        <v>283210.21000000002</v>
      </c>
      <c r="F2557" s="479">
        <v>200</v>
      </c>
      <c r="G2557" s="589">
        <v>256649.97</v>
      </c>
    </row>
    <row r="2558" spans="3:7" x14ac:dyDescent="0.2">
      <c r="C2558" s="807">
        <v>45709</v>
      </c>
      <c r="D2558" s="331">
        <f t="shared" si="35"/>
        <v>563798.29</v>
      </c>
      <c r="E2558" s="617">
        <v>306948.32</v>
      </c>
      <c r="F2558" s="479">
        <v>200</v>
      </c>
      <c r="G2558" s="589">
        <v>256649.97</v>
      </c>
    </row>
    <row r="2559" spans="3:7" x14ac:dyDescent="0.2">
      <c r="C2559" s="807">
        <v>45712</v>
      </c>
      <c r="D2559" s="331">
        <f t="shared" si="35"/>
        <v>562950.29</v>
      </c>
      <c r="E2559" s="617">
        <v>306100.32</v>
      </c>
      <c r="F2559" s="479">
        <v>200</v>
      </c>
      <c r="G2559" s="589">
        <v>256649.97</v>
      </c>
    </row>
    <row r="2560" spans="3:7" x14ac:dyDescent="0.2">
      <c r="C2560" s="807">
        <v>45712</v>
      </c>
      <c r="D2560" s="331">
        <f t="shared" si="35"/>
        <v>561244.29</v>
      </c>
      <c r="E2560" s="617">
        <v>304394.32</v>
      </c>
      <c r="F2560" s="479">
        <v>200</v>
      </c>
      <c r="G2560" s="589">
        <v>256649.97</v>
      </c>
    </row>
    <row r="2561" spans="3:7" x14ac:dyDescent="0.2">
      <c r="C2561" s="807">
        <v>45713</v>
      </c>
      <c r="D2561" s="331">
        <f t="shared" si="35"/>
        <v>528536.19999999995</v>
      </c>
      <c r="E2561" s="617">
        <v>271686.23</v>
      </c>
      <c r="F2561" s="479">
        <v>200</v>
      </c>
      <c r="G2561" s="589">
        <v>256649.97</v>
      </c>
    </row>
    <row r="2562" spans="3:7" x14ac:dyDescent="0.2">
      <c r="C2562" s="807">
        <v>45713</v>
      </c>
      <c r="D2562" s="331">
        <f t="shared" si="35"/>
        <v>528521.19999999995</v>
      </c>
      <c r="E2562" s="617">
        <v>271671.23</v>
      </c>
      <c r="F2562" s="479">
        <v>200</v>
      </c>
      <c r="G2562" s="589">
        <v>256649.97</v>
      </c>
    </row>
    <row r="2563" spans="3:7" x14ac:dyDescent="0.2">
      <c r="C2563" s="807">
        <v>45714</v>
      </c>
      <c r="D2563" s="331">
        <f t="shared" si="35"/>
        <v>528488.51</v>
      </c>
      <c r="E2563" s="617">
        <v>271638.53999999998</v>
      </c>
      <c r="F2563" s="479">
        <v>200</v>
      </c>
      <c r="G2563" s="589">
        <v>256649.97</v>
      </c>
    </row>
    <row r="2564" spans="3:7" x14ac:dyDescent="0.2">
      <c r="C2564" s="807">
        <v>45714</v>
      </c>
      <c r="D2564" s="331">
        <f t="shared" si="35"/>
        <v>528092.85</v>
      </c>
      <c r="E2564" s="617">
        <v>271242.88</v>
      </c>
      <c r="F2564" s="479">
        <v>200</v>
      </c>
      <c r="G2564" s="589">
        <v>256649.97</v>
      </c>
    </row>
    <row r="2565" spans="3:7" x14ac:dyDescent="0.2">
      <c r="C2565" s="807">
        <v>45715</v>
      </c>
      <c r="D2565" s="331">
        <f t="shared" si="35"/>
        <v>522112.78</v>
      </c>
      <c r="E2565" s="617">
        <v>265262.81</v>
      </c>
      <c r="F2565" s="479">
        <v>200</v>
      </c>
      <c r="G2565" s="589">
        <v>256649.97</v>
      </c>
    </row>
    <row r="2566" spans="3:7" x14ac:dyDescent="0.2">
      <c r="C2566" s="807">
        <v>45715</v>
      </c>
      <c r="D2566" s="331">
        <f t="shared" si="35"/>
        <v>522302.78</v>
      </c>
      <c r="E2566" s="617">
        <v>265452.81</v>
      </c>
      <c r="F2566" s="479">
        <v>200</v>
      </c>
      <c r="G2566" s="589">
        <v>256649.97</v>
      </c>
    </row>
    <row r="2567" spans="3:7" x14ac:dyDescent="0.2">
      <c r="C2567" s="807">
        <v>45715</v>
      </c>
      <c r="D2567" s="331">
        <f t="shared" si="35"/>
        <v>522372.78</v>
      </c>
      <c r="E2567" s="617">
        <v>265522.81</v>
      </c>
      <c r="F2567" s="479">
        <v>200</v>
      </c>
      <c r="G2567" s="589">
        <v>256649.97</v>
      </c>
    </row>
    <row r="2568" spans="3:7" x14ac:dyDescent="0.2">
      <c r="C2568" s="807">
        <v>45715</v>
      </c>
      <c r="D2568" s="331">
        <f t="shared" si="35"/>
        <v>522482.78</v>
      </c>
      <c r="E2568" s="617">
        <v>265632.81</v>
      </c>
      <c r="F2568" s="479">
        <v>200</v>
      </c>
      <c r="G2568" s="589">
        <v>256649.97</v>
      </c>
    </row>
    <row r="2569" spans="3:7" x14ac:dyDescent="0.2">
      <c r="C2569" s="807">
        <v>45715</v>
      </c>
      <c r="D2569" s="331">
        <f t="shared" si="35"/>
        <v>522717.78</v>
      </c>
      <c r="E2569" s="617">
        <v>265867.81</v>
      </c>
      <c r="F2569" s="479">
        <v>200</v>
      </c>
      <c r="G2569" s="589">
        <v>256649.97</v>
      </c>
    </row>
    <row r="2570" spans="3:7" x14ac:dyDescent="0.2">
      <c r="C2570" s="807">
        <v>45715</v>
      </c>
      <c r="D2570" s="331">
        <f t="shared" si="35"/>
        <v>522722.78</v>
      </c>
      <c r="E2570" s="617">
        <v>265872.81</v>
      </c>
      <c r="F2570" s="479">
        <v>200</v>
      </c>
      <c r="G2570" s="589">
        <v>256649.97</v>
      </c>
    </row>
    <row r="2571" spans="3:7" x14ac:dyDescent="0.2">
      <c r="C2571" s="807">
        <v>45715</v>
      </c>
      <c r="D2571" s="331">
        <f t="shared" si="35"/>
        <v>522757.78</v>
      </c>
      <c r="E2571" s="617">
        <v>265907.81</v>
      </c>
      <c r="F2571" s="479">
        <v>200</v>
      </c>
      <c r="G2571" s="589">
        <v>256649.97</v>
      </c>
    </row>
    <row r="2572" spans="3:7" x14ac:dyDescent="0.2">
      <c r="C2572" s="807">
        <v>45715</v>
      </c>
      <c r="D2572" s="331">
        <f t="shared" si="35"/>
        <v>562635.17000000004</v>
      </c>
      <c r="E2572" s="617">
        <v>305785.2</v>
      </c>
      <c r="F2572" s="479">
        <v>200</v>
      </c>
      <c r="G2572" s="589">
        <v>256649.97</v>
      </c>
    </row>
    <row r="2573" spans="3:7" x14ac:dyDescent="0.2">
      <c r="C2573" s="807">
        <v>45716</v>
      </c>
      <c r="D2573" s="331">
        <f t="shared" si="35"/>
        <v>563333.79</v>
      </c>
      <c r="E2573" s="617">
        <v>305785.2</v>
      </c>
      <c r="F2573" s="479">
        <v>200</v>
      </c>
      <c r="G2573" s="589">
        <v>257348.59</v>
      </c>
    </row>
    <row r="2574" spans="3:7" x14ac:dyDescent="0.2">
      <c r="C2574" s="809" t="s">
        <v>297</v>
      </c>
      <c r="D2574" s="331">
        <f t="shared" si="35"/>
        <v>562452.68000000005</v>
      </c>
      <c r="E2574" s="762">
        <v>304904.09000000003</v>
      </c>
      <c r="F2574" s="479">
        <v>200</v>
      </c>
      <c r="G2574" s="589">
        <v>257348.59</v>
      </c>
    </row>
    <row r="2575" spans="3:7" x14ac:dyDescent="0.2">
      <c r="C2575" s="810" t="s">
        <v>297</v>
      </c>
      <c r="D2575" s="331">
        <f t="shared" si="35"/>
        <v>562418.18000000005</v>
      </c>
      <c r="E2575" s="762">
        <v>304869.59000000003</v>
      </c>
      <c r="F2575" s="479">
        <v>200</v>
      </c>
      <c r="G2575" s="589">
        <v>257348.59</v>
      </c>
    </row>
    <row r="2576" spans="3:7" x14ac:dyDescent="0.2">
      <c r="C2576" s="810" t="s">
        <v>297</v>
      </c>
      <c r="D2576" s="331">
        <f t="shared" si="35"/>
        <v>601492.61</v>
      </c>
      <c r="E2576" s="762">
        <v>343944.02</v>
      </c>
      <c r="F2576" s="479">
        <v>200</v>
      </c>
      <c r="G2576" s="589">
        <v>257348.59</v>
      </c>
    </row>
    <row r="2577" spans="3:7" x14ac:dyDescent="0.2">
      <c r="C2577" s="810" t="s">
        <v>298</v>
      </c>
      <c r="D2577" s="331">
        <f t="shared" si="35"/>
        <v>601342.61</v>
      </c>
      <c r="E2577" s="762">
        <v>343794.02</v>
      </c>
      <c r="F2577" s="479">
        <v>200</v>
      </c>
      <c r="G2577" s="589">
        <v>257348.59</v>
      </c>
    </row>
    <row r="2578" spans="3:7" x14ac:dyDescent="0.2">
      <c r="C2578" s="810" t="s">
        <v>298</v>
      </c>
      <c r="D2578" s="331">
        <f t="shared" si="35"/>
        <v>598390.28</v>
      </c>
      <c r="E2578" s="762">
        <v>340841.69</v>
      </c>
      <c r="F2578" s="479">
        <v>200</v>
      </c>
      <c r="G2578" s="589">
        <v>257348.59</v>
      </c>
    </row>
    <row r="2579" spans="3:7" x14ac:dyDescent="0.2">
      <c r="C2579" s="810" t="s">
        <v>298</v>
      </c>
      <c r="D2579" s="331">
        <f t="shared" si="35"/>
        <v>598362.28</v>
      </c>
      <c r="E2579" s="762">
        <v>340813.69</v>
      </c>
      <c r="F2579" s="479">
        <v>200</v>
      </c>
      <c r="G2579" s="589">
        <v>257348.59</v>
      </c>
    </row>
    <row r="2580" spans="3:7" x14ac:dyDescent="0.2">
      <c r="C2580" s="810" t="s">
        <v>298</v>
      </c>
      <c r="D2580" s="331">
        <f t="shared" si="35"/>
        <v>598159.98</v>
      </c>
      <c r="E2580" s="762">
        <v>340611.39</v>
      </c>
      <c r="F2580" s="479">
        <v>200</v>
      </c>
      <c r="G2580" s="589">
        <v>257348.59</v>
      </c>
    </row>
    <row r="2581" spans="3:7" x14ac:dyDescent="0.2">
      <c r="C2581" s="810" t="s">
        <v>298</v>
      </c>
      <c r="D2581" s="331">
        <f t="shared" si="35"/>
        <v>597953.23</v>
      </c>
      <c r="E2581" s="762">
        <v>340404.64</v>
      </c>
      <c r="F2581" s="479">
        <v>200</v>
      </c>
      <c r="G2581" s="589">
        <v>257348.59</v>
      </c>
    </row>
    <row r="2582" spans="3:7" x14ac:dyDescent="0.2">
      <c r="C2582" s="810" t="s">
        <v>298</v>
      </c>
      <c r="D2582" s="331">
        <f t="shared" ref="D2582:D2645" si="36">E2582+F2582+G2582</f>
        <v>597453.23</v>
      </c>
      <c r="E2582" s="762">
        <v>339904.64</v>
      </c>
      <c r="F2582" s="479">
        <v>200</v>
      </c>
      <c r="G2582" s="589">
        <v>257348.59</v>
      </c>
    </row>
    <row r="2583" spans="3:7" x14ac:dyDescent="0.2">
      <c r="C2583" s="810" t="s">
        <v>298</v>
      </c>
      <c r="D2583" s="331">
        <f t="shared" si="36"/>
        <v>597014.55000000005</v>
      </c>
      <c r="E2583" s="762">
        <v>339465.96</v>
      </c>
      <c r="F2583" s="479">
        <v>200</v>
      </c>
      <c r="G2583" s="589">
        <v>257348.59</v>
      </c>
    </row>
    <row r="2584" spans="3:7" x14ac:dyDescent="0.2">
      <c r="C2584" s="810" t="s">
        <v>298</v>
      </c>
      <c r="D2584" s="331">
        <f t="shared" si="36"/>
        <v>596784.99</v>
      </c>
      <c r="E2584" s="762">
        <v>339236.4</v>
      </c>
      <c r="F2584" s="479">
        <v>200</v>
      </c>
      <c r="G2584" s="589">
        <v>257348.59</v>
      </c>
    </row>
    <row r="2585" spans="3:7" x14ac:dyDescent="0.2">
      <c r="C2585" s="810" t="s">
        <v>298</v>
      </c>
      <c r="D2585" s="331">
        <f t="shared" si="36"/>
        <v>596769.52</v>
      </c>
      <c r="E2585" s="762">
        <v>339220.93000000005</v>
      </c>
      <c r="F2585" s="479">
        <v>200</v>
      </c>
      <c r="G2585" s="589">
        <v>257348.59</v>
      </c>
    </row>
    <row r="2586" spans="3:7" x14ac:dyDescent="0.2">
      <c r="C2586" s="810" t="s">
        <v>298</v>
      </c>
      <c r="D2586" s="331">
        <f t="shared" si="36"/>
        <v>596516.53</v>
      </c>
      <c r="E2586" s="762">
        <v>338967.94000000006</v>
      </c>
      <c r="F2586" s="479">
        <v>200</v>
      </c>
      <c r="G2586" s="589">
        <v>257348.59</v>
      </c>
    </row>
    <row r="2587" spans="3:7" x14ac:dyDescent="0.2">
      <c r="C2587" s="810" t="s">
        <v>298</v>
      </c>
      <c r="D2587" s="331">
        <f t="shared" si="36"/>
        <v>596493.43000000005</v>
      </c>
      <c r="E2587" s="762">
        <v>338944.84000000008</v>
      </c>
      <c r="F2587" s="479">
        <v>200</v>
      </c>
      <c r="G2587" s="589">
        <v>257348.59</v>
      </c>
    </row>
    <row r="2588" spans="3:7" x14ac:dyDescent="0.2">
      <c r="C2588" s="810" t="s">
        <v>298</v>
      </c>
      <c r="D2588" s="331">
        <f t="shared" si="36"/>
        <v>596351.68000000005</v>
      </c>
      <c r="E2588" s="762">
        <v>338803.09000000008</v>
      </c>
      <c r="F2588" s="479">
        <v>200</v>
      </c>
      <c r="G2588" s="589">
        <v>257348.59</v>
      </c>
    </row>
    <row r="2589" spans="3:7" x14ac:dyDescent="0.2">
      <c r="C2589" s="810" t="s">
        <v>298</v>
      </c>
      <c r="D2589" s="331">
        <f t="shared" si="36"/>
        <v>596285.88000000012</v>
      </c>
      <c r="E2589" s="762">
        <v>338737.2900000001</v>
      </c>
      <c r="F2589" s="479">
        <v>200</v>
      </c>
      <c r="G2589" s="589">
        <v>257348.59</v>
      </c>
    </row>
    <row r="2590" spans="3:7" x14ac:dyDescent="0.2">
      <c r="C2590" s="810" t="s">
        <v>298</v>
      </c>
      <c r="D2590" s="331">
        <f t="shared" si="36"/>
        <v>596211.46000000008</v>
      </c>
      <c r="E2590" s="762">
        <v>338662.87000000011</v>
      </c>
      <c r="F2590" s="479">
        <v>200</v>
      </c>
      <c r="G2590" s="589">
        <v>257348.59</v>
      </c>
    </row>
    <row r="2591" spans="3:7" x14ac:dyDescent="0.2">
      <c r="C2591" s="810" t="s">
        <v>298</v>
      </c>
      <c r="D2591" s="331">
        <f t="shared" si="36"/>
        <v>594546.46000000008</v>
      </c>
      <c r="E2591" s="762">
        <v>336997.87000000011</v>
      </c>
      <c r="F2591" s="479">
        <v>200</v>
      </c>
      <c r="G2591" s="589">
        <v>257348.59</v>
      </c>
    </row>
    <row r="2592" spans="3:7" x14ac:dyDescent="0.2">
      <c r="C2592" s="810" t="s">
        <v>298</v>
      </c>
      <c r="D2592" s="331">
        <f t="shared" si="36"/>
        <v>594492.94000000006</v>
      </c>
      <c r="E2592" s="762">
        <v>336944.35000000009</v>
      </c>
      <c r="F2592" s="479">
        <v>200</v>
      </c>
      <c r="G2592" s="589">
        <v>257348.59</v>
      </c>
    </row>
    <row r="2593" spans="3:7" x14ac:dyDescent="0.2">
      <c r="C2593" s="810" t="s">
        <v>298</v>
      </c>
      <c r="D2593" s="331">
        <f t="shared" si="36"/>
        <v>594404.53000000014</v>
      </c>
      <c r="E2593" s="762">
        <v>336855.94000000012</v>
      </c>
      <c r="F2593" s="479">
        <v>200</v>
      </c>
      <c r="G2593" s="589">
        <v>257348.59</v>
      </c>
    </row>
    <row r="2594" spans="3:7" x14ac:dyDescent="0.2">
      <c r="C2594" s="810" t="s">
        <v>298</v>
      </c>
      <c r="D2594" s="331">
        <f t="shared" si="36"/>
        <v>594424.21000000008</v>
      </c>
      <c r="E2594" s="762">
        <v>336875.62000000011</v>
      </c>
      <c r="F2594" s="479">
        <v>200</v>
      </c>
      <c r="G2594" s="589">
        <v>257348.59</v>
      </c>
    </row>
    <row r="2595" spans="3:7" x14ac:dyDescent="0.2">
      <c r="C2595" s="810" t="s">
        <v>299</v>
      </c>
      <c r="D2595" s="331">
        <f t="shared" si="36"/>
        <v>594205.78000000014</v>
      </c>
      <c r="E2595" s="762">
        <v>336657.19000000012</v>
      </c>
      <c r="F2595" s="479">
        <v>200</v>
      </c>
      <c r="G2595" s="589">
        <v>257348.59</v>
      </c>
    </row>
    <row r="2596" spans="3:7" x14ac:dyDescent="0.2">
      <c r="C2596" s="810" t="s">
        <v>300</v>
      </c>
      <c r="D2596" s="331">
        <f t="shared" si="36"/>
        <v>559150.63000000012</v>
      </c>
      <c r="E2596" s="762">
        <v>301602.0400000001</v>
      </c>
      <c r="F2596" s="479">
        <v>200</v>
      </c>
      <c r="G2596" s="589">
        <v>257348.59</v>
      </c>
    </row>
    <row r="2597" spans="3:7" x14ac:dyDescent="0.2">
      <c r="C2597" s="810" t="s">
        <v>301</v>
      </c>
      <c r="D2597" s="331">
        <f t="shared" si="36"/>
        <v>558932.20000000007</v>
      </c>
      <c r="E2597" s="762">
        <v>301383.6100000001</v>
      </c>
      <c r="F2597" s="479">
        <v>200</v>
      </c>
      <c r="G2597" s="589">
        <v>257348.59</v>
      </c>
    </row>
    <row r="2598" spans="3:7" x14ac:dyDescent="0.2">
      <c r="C2598" s="810" t="s">
        <v>301</v>
      </c>
      <c r="D2598" s="331">
        <f t="shared" si="36"/>
        <v>558669.16000000015</v>
      </c>
      <c r="E2598" s="762">
        <v>301120.57000000012</v>
      </c>
      <c r="F2598" s="479">
        <v>200</v>
      </c>
      <c r="G2598" s="589">
        <v>257348.59</v>
      </c>
    </row>
    <row r="2599" spans="3:7" x14ac:dyDescent="0.2">
      <c r="C2599" s="810" t="s">
        <v>301</v>
      </c>
      <c r="D2599" s="331">
        <f t="shared" si="36"/>
        <v>556604.50000000012</v>
      </c>
      <c r="E2599" s="762">
        <v>299055.91000000015</v>
      </c>
      <c r="F2599" s="479">
        <v>200</v>
      </c>
      <c r="G2599" s="589">
        <v>257348.59</v>
      </c>
    </row>
    <row r="2600" spans="3:7" x14ac:dyDescent="0.2">
      <c r="C2600" s="810" t="s">
        <v>301</v>
      </c>
      <c r="D2600" s="331">
        <f t="shared" si="36"/>
        <v>556066.76000000013</v>
      </c>
      <c r="E2600" s="762">
        <v>298518.17000000016</v>
      </c>
      <c r="F2600" s="479">
        <v>200</v>
      </c>
      <c r="G2600" s="589">
        <v>257348.59</v>
      </c>
    </row>
    <row r="2601" spans="3:7" x14ac:dyDescent="0.2">
      <c r="C2601" s="810" t="s">
        <v>301</v>
      </c>
      <c r="D2601" s="331">
        <f t="shared" si="36"/>
        <v>555844.13000000012</v>
      </c>
      <c r="E2601" s="762">
        <v>298295.54000000015</v>
      </c>
      <c r="F2601" s="479">
        <v>200</v>
      </c>
      <c r="G2601" s="589">
        <v>257348.59</v>
      </c>
    </row>
    <row r="2602" spans="3:7" x14ac:dyDescent="0.2">
      <c r="C2602" s="810" t="s">
        <v>301</v>
      </c>
      <c r="D2602" s="331">
        <f t="shared" si="36"/>
        <v>555335.33000000019</v>
      </c>
      <c r="E2602" s="762">
        <v>297786.74000000017</v>
      </c>
      <c r="F2602" s="479">
        <v>200</v>
      </c>
      <c r="G2602" s="589">
        <v>257348.59</v>
      </c>
    </row>
    <row r="2603" spans="3:7" x14ac:dyDescent="0.2">
      <c r="C2603" s="810" t="s">
        <v>301</v>
      </c>
      <c r="D2603" s="331">
        <f t="shared" si="36"/>
        <v>553445.50000000012</v>
      </c>
      <c r="E2603" s="762">
        <v>295896.91000000015</v>
      </c>
      <c r="F2603" s="479">
        <v>200</v>
      </c>
      <c r="G2603" s="589">
        <v>257348.59</v>
      </c>
    </row>
    <row r="2604" spans="3:7" x14ac:dyDescent="0.2">
      <c r="C2604" s="810" t="s">
        <v>301</v>
      </c>
      <c r="D2604" s="331">
        <f t="shared" si="36"/>
        <v>553072.40000000014</v>
      </c>
      <c r="E2604" s="762">
        <v>295523.81000000017</v>
      </c>
      <c r="F2604" s="479">
        <v>200</v>
      </c>
      <c r="G2604" s="589">
        <v>257348.59</v>
      </c>
    </row>
    <row r="2605" spans="3:7" x14ac:dyDescent="0.2">
      <c r="C2605" s="810" t="s">
        <v>301</v>
      </c>
      <c r="D2605" s="331">
        <f t="shared" si="36"/>
        <v>553062.40000000014</v>
      </c>
      <c r="E2605" s="762">
        <v>295513.81000000017</v>
      </c>
      <c r="F2605" s="479">
        <v>200</v>
      </c>
      <c r="G2605" s="589">
        <v>257348.59</v>
      </c>
    </row>
    <row r="2606" spans="3:7" x14ac:dyDescent="0.2">
      <c r="C2606" s="810" t="s">
        <v>301</v>
      </c>
      <c r="D2606" s="331">
        <f t="shared" si="36"/>
        <v>552448.28000000014</v>
      </c>
      <c r="E2606" s="762">
        <v>294899.69000000018</v>
      </c>
      <c r="F2606" s="479">
        <v>200</v>
      </c>
      <c r="G2606" s="589">
        <v>257348.59</v>
      </c>
    </row>
    <row r="2607" spans="3:7" x14ac:dyDescent="0.2">
      <c r="C2607" s="810" t="s">
        <v>302</v>
      </c>
      <c r="D2607" s="331">
        <f t="shared" si="36"/>
        <v>552498.28000000014</v>
      </c>
      <c r="E2607" s="762">
        <v>294949.69000000018</v>
      </c>
      <c r="F2607" s="479">
        <v>200</v>
      </c>
      <c r="G2607" s="589">
        <v>257348.59</v>
      </c>
    </row>
    <row r="2608" spans="3:7" x14ac:dyDescent="0.2">
      <c r="C2608" s="810" t="s">
        <v>302</v>
      </c>
      <c r="D2608" s="331">
        <f t="shared" si="36"/>
        <v>552605.28000000014</v>
      </c>
      <c r="E2608" s="762">
        <v>295056.69000000018</v>
      </c>
      <c r="F2608" s="479">
        <v>200</v>
      </c>
      <c r="G2608" s="589">
        <v>257348.59</v>
      </c>
    </row>
    <row r="2609" spans="3:7" x14ac:dyDescent="0.2">
      <c r="C2609" s="810" t="s">
        <v>302</v>
      </c>
      <c r="D2609" s="331">
        <f t="shared" si="36"/>
        <v>552802.28000000014</v>
      </c>
      <c r="E2609" s="762">
        <v>295253.69000000018</v>
      </c>
      <c r="F2609" s="479">
        <v>200</v>
      </c>
      <c r="G2609" s="589">
        <v>257348.59</v>
      </c>
    </row>
    <row r="2610" spans="3:7" x14ac:dyDescent="0.2">
      <c r="C2610" s="810" t="s">
        <v>302</v>
      </c>
      <c r="D2610" s="331">
        <f t="shared" si="36"/>
        <v>553067.28000000014</v>
      </c>
      <c r="E2610" s="762">
        <v>295518.69000000018</v>
      </c>
      <c r="F2610" s="479">
        <v>200</v>
      </c>
      <c r="G2610" s="589">
        <v>257348.59</v>
      </c>
    </row>
    <row r="2611" spans="3:7" x14ac:dyDescent="0.2">
      <c r="C2611" s="810" t="s">
        <v>302</v>
      </c>
      <c r="D2611" s="331">
        <f t="shared" si="36"/>
        <v>553149.28000000014</v>
      </c>
      <c r="E2611" s="762">
        <v>295600.69000000018</v>
      </c>
      <c r="F2611" s="479">
        <v>200</v>
      </c>
      <c r="G2611" s="589">
        <v>257348.59</v>
      </c>
    </row>
    <row r="2612" spans="3:7" x14ac:dyDescent="0.2">
      <c r="C2612" s="810" t="s">
        <v>302</v>
      </c>
      <c r="D2612" s="331">
        <f t="shared" si="36"/>
        <v>553159.28000000014</v>
      </c>
      <c r="E2612" s="762">
        <v>295610.69000000018</v>
      </c>
      <c r="F2612" s="479">
        <v>200</v>
      </c>
      <c r="G2612" s="589">
        <v>257348.59</v>
      </c>
    </row>
    <row r="2613" spans="3:7" x14ac:dyDescent="0.2">
      <c r="C2613" s="810" t="s">
        <v>302</v>
      </c>
      <c r="D2613" s="331">
        <f t="shared" si="36"/>
        <v>558291.17000000016</v>
      </c>
      <c r="E2613" s="762">
        <v>300742.58000000019</v>
      </c>
      <c r="F2613" s="479">
        <v>200</v>
      </c>
      <c r="G2613" s="589">
        <v>257348.59</v>
      </c>
    </row>
    <row r="2614" spans="3:7" x14ac:dyDescent="0.2">
      <c r="C2614" s="810" t="s">
        <v>302</v>
      </c>
      <c r="D2614" s="331">
        <f t="shared" si="36"/>
        <v>584291.17000000016</v>
      </c>
      <c r="E2614" s="762">
        <v>326742.58000000019</v>
      </c>
      <c r="F2614" s="479">
        <v>200</v>
      </c>
      <c r="G2614" s="589">
        <v>257348.59</v>
      </c>
    </row>
    <row r="2615" spans="3:7" x14ac:dyDescent="0.2">
      <c r="C2615" s="810" t="s">
        <v>302</v>
      </c>
      <c r="D2615" s="331">
        <f t="shared" si="36"/>
        <v>584317.76000000024</v>
      </c>
      <c r="E2615" s="762">
        <v>326769.17000000022</v>
      </c>
      <c r="F2615" s="479">
        <v>200</v>
      </c>
      <c r="G2615" s="589">
        <v>257348.59</v>
      </c>
    </row>
    <row r="2616" spans="3:7" x14ac:dyDescent="0.2">
      <c r="C2616" s="810" t="s">
        <v>302</v>
      </c>
      <c r="D2616" s="331">
        <f t="shared" si="36"/>
        <v>584367.41000000027</v>
      </c>
      <c r="E2616" s="762">
        <v>326818.82000000024</v>
      </c>
      <c r="F2616" s="479">
        <v>200</v>
      </c>
      <c r="G2616" s="589">
        <v>257348.59</v>
      </c>
    </row>
    <row r="2617" spans="3:7" x14ac:dyDescent="0.2">
      <c r="C2617" s="810" t="s">
        <v>302</v>
      </c>
      <c r="D2617" s="331">
        <f t="shared" si="36"/>
        <v>584086.27000000025</v>
      </c>
      <c r="E2617" s="762">
        <v>326537.68000000023</v>
      </c>
      <c r="F2617" s="479">
        <v>200</v>
      </c>
      <c r="G2617" s="589">
        <v>257348.59</v>
      </c>
    </row>
    <row r="2618" spans="3:7" x14ac:dyDescent="0.2">
      <c r="C2618" s="810" t="s">
        <v>303</v>
      </c>
      <c r="D2618" s="331">
        <f t="shared" si="36"/>
        <v>584110.94000000018</v>
      </c>
      <c r="E2618" s="762">
        <v>326562.35000000021</v>
      </c>
      <c r="F2618" s="479">
        <v>200</v>
      </c>
      <c r="G2618" s="589">
        <v>257348.59</v>
      </c>
    </row>
    <row r="2619" spans="3:7" x14ac:dyDescent="0.2">
      <c r="C2619" s="810" t="s">
        <v>304</v>
      </c>
      <c r="D2619" s="331">
        <f t="shared" si="36"/>
        <v>583988.78000000026</v>
      </c>
      <c r="E2619" s="762">
        <v>326440.19000000024</v>
      </c>
      <c r="F2619" s="479">
        <v>200</v>
      </c>
      <c r="G2619" s="589">
        <v>257348.59</v>
      </c>
    </row>
    <row r="2620" spans="3:7" x14ac:dyDescent="0.2">
      <c r="C2620" s="810" t="s">
        <v>304</v>
      </c>
      <c r="D2620" s="331">
        <f t="shared" si="36"/>
        <v>576450.70000000019</v>
      </c>
      <c r="E2620" s="762">
        <v>318902.11000000022</v>
      </c>
      <c r="F2620" s="479">
        <v>200</v>
      </c>
      <c r="G2620" s="589">
        <v>257348.59</v>
      </c>
    </row>
    <row r="2621" spans="3:7" x14ac:dyDescent="0.2">
      <c r="C2621" s="810" t="s">
        <v>304</v>
      </c>
      <c r="D2621" s="331">
        <f t="shared" si="36"/>
        <v>571450.70000000019</v>
      </c>
      <c r="E2621" s="762">
        <v>313902.11000000022</v>
      </c>
      <c r="F2621" s="479">
        <v>200</v>
      </c>
      <c r="G2621" s="589">
        <v>257348.59</v>
      </c>
    </row>
    <row r="2622" spans="3:7" x14ac:dyDescent="0.2">
      <c r="C2622" s="810" t="s">
        <v>304</v>
      </c>
      <c r="D2622" s="331">
        <f t="shared" si="36"/>
        <v>570851.30000000016</v>
      </c>
      <c r="E2622" s="762">
        <v>313302.7100000002</v>
      </c>
      <c r="F2622" s="479">
        <v>200</v>
      </c>
      <c r="G2622" s="589">
        <v>257348.59</v>
      </c>
    </row>
    <row r="2623" spans="3:7" x14ac:dyDescent="0.2">
      <c r="C2623" s="810" t="s">
        <v>304</v>
      </c>
      <c r="D2623" s="331">
        <f t="shared" si="36"/>
        <v>567933.41000000015</v>
      </c>
      <c r="E2623" s="762">
        <v>310384.82000000018</v>
      </c>
      <c r="F2623" s="479">
        <v>200</v>
      </c>
      <c r="G2623" s="589">
        <v>257348.59</v>
      </c>
    </row>
    <row r="2624" spans="3:7" x14ac:dyDescent="0.2">
      <c r="C2624" s="810" t="s">
        <v>305</v>
      </c>
      <c r="D2624" s="331">
        <f t="shared" si="36"/>
        <v>532131.53000000014</v>
      </c>
      <c r="E2624" s="762">
        <v>274582.94000000018</v>
      </c>
      <c r="F2624" s="479">
        <v>200</v>
      </c>
      <c r="G2624" s="589">
        <v>257348.59</v>
      </c>
    </row>
    <row r="2625" spans="3:7" x14ac:dyDescent="0.2">
      <c r="C2625" s="810" t="s">
        <v>305</v>
      </c>
      <c r="D2625" s="331">
        <f t="shared" si="36"/>
        <v>567952.5900000002</v>
      </c>
      <c r="E2625" s="762">
        <v>274602.00000000017</v>
      </c>
      <c r="F2625" s="479">
        <v>36002</v>
      </c>
      <c r="G2625" s="589">
        <v>257348.59</v>
      </c>
    </row>
    <row r="2626" spans="3:7" x14ac:dyDescent="0.2">
      <c r="C2626" s="810" t="s">
        <v>306</v>
      </c>
      <c r="D2626" s="331">
        <f t="shared" si="36"/>
        <v>542750.5900000002</v>
      </c>
      <c r="E2626" s="762">
        <v>274037.00000000017</v>
      </c>
      <c r="F2626" s="479">
        <v>11365</v>
      </c>
      <c r="G2626" s="589">
        <v>257348.59</v>
      </c>
    </row>
    <row r="2627" spans="3:7" x14ac:dyDescent="0.2">
      <c r="C2627" s="810" t="s">
        <v>306</v>
      </c>
      <c r="D2627" s="331">
        <f t="shared" si="36"/>
        <v>540999.5900000002</v>
      </c>
      <c r="E2627" s="762">
        <v>273472.00000000017</v>
      </c>
      <c r="F2627" s="479">
        <v>10179</v>
      </c>
      <c r="G2627" s="589">
        <v>257348.59</v>
      </c>
    </row>
    <row r="2628" spans="3:7" x14ac:dyDescent="0.2">
      <c r="C2628" s="810" t="s">
        <v>306</v>
      </c>
      <c r="D2628" s="331">
        <f t="shared" si="36"/>
        <v>533884.48000000021</v>
      </c>
      <c r="E2628" s="762">
        <v>273439.31000000017</v>
      </c>
      <c r="F2628" s="479">
        <v>3096.58</v>
      </c>
      <c r="G2628" s="589">
        <v>257348.59</v>
      </c>
    </row>
    <row r="2629" spans="3:7" x14ac:dyDescent="0.2">
      <c r="C2629" s="810" t="s">
        <v>306</v>
      </c>
      <c r="D2629" s="331">
        <f t="shared" si="36"/>
        <v>548004.7100000002</v>
      </c>
      <c r="E2629" s="762">
        <v>288755.12000000017</v>
      </c>
      <c r="F2629" s="479">
        <v>1901</v>
      </c>
      <c r="G2629" s="589">
        <v>257348.59</v>
      </c>
    </row>
    <row r="2630" spans="3:7" x14ac:dyDescent="0.2">
      <c r="C2630" s="810" t="s">
        <v>307</v>
      </c>
      <c r="D2630" s="331">
        <f t="shared" si="36"/>
        <v>546594.75000000012</v>
      </c>
      <c r="E2630" s="762">
        <v>288255.12000000017</v>
      </c>
      <c r="F2630" s="479">
        <v>991.04</v>
      </c>
      <c r="G2630" s="589">
        <v>257348.59</v>
      </c>
    </row>
    <row r="2631" spans="3:7" x14ac:dyDescent="0.2">
      <c r="C2631" s="810" t="s">
        <v>307</v>
      </c>
      <c r="D2631" s="331">
        <f t="shared" si="36"/>
        <v>546243.7100000002</v>
      </c>
      <c r="E2631" s="762">
        <v>288695.12000000017</v>
      </c>
      <c r="F2631" s="479">
        <v>200</v>
      </c>
      <c r="G2631" s="589">
        <v>257348.59</v>
      </c>
    </row>
    <row r="2632" spans="3:7" x14ac:dyDescent="0.2">
      <c r="C2632" s="810" t="s">
        <v>307</v>
      </c>
      <c r="D2632" s="331">
        <f t="shared" si="36"/>
        <v>546328.7100000002</v>
      </c>
      <c r="E2632" s="762">
        <v>288780.12000000017</v>
      </c>
      <c r="F2632" s="479">
        <v>200</v>
      </c>
      <c r="G2632" s="589">
        <v>257348.59</v>
      </c>
    </row>
    <row r="2633" spans="3:7" x14ac:dyDescent="0.2">
      <c r="C2633" s="810" t="s">
        <v>307</v>
      </c>
      <c r="D2633" s="331">
        <f t="shared" si="36"/>
        <v>546513.7100000002</v>
      </c>
      <c r="E2633" s="762">
        <v>288965.12000000017</v>
      </c>
      <c r="F2633" s="479">
        <v>200</v>
      </c>
      <c r="G2633" s="589">
        <v>257348.59</v>
      </c>
    </row>
    <row r="2634" spans="3:7" x14ac:dyDescent="0.2">
      <c r="C2634" s="810" t="s">
        <v>307</v>
      </c>
      <c r="D2634" s="331">
        <f t="shared" si="36"/>
        <v>546573.7100000002</v>
      </c>
      <c r="E2634" s="762">
        <v>289025.12000000017</v>
      </c>
      <c r="F2634" s="479">
        <v>200</v>
      </c>
      <c r="G2634" s="589">
        <v>257348.59</v>
      </c>
    </row>
    <row r="2635" spans="3:7" x14ac:dyDescent="0.2">
      <c r="C2635" s="810" t="s">
        <v>307</v>
      </c>
      <c r="D2635" s="331">
        <f t="shared" si="36"/>
        <v>574987.85000000021</v>
      </c>
      <c r="E2635" s="762">
        <v>317439.26000000018</v>
      </c>
      <c r="F2635" s="479">
        <v>200</v>
      </c>
      <c r="G2635" s="589">
        <v>257348.59</v>
      </c>
    </row>
    <row r="2636" spans="3:7" x14ac:dyDescent="0.2">
      <c r="C2636" s="810" t="s">
        <v>308</v>
      </c>
      <c r="D2636" s="331">
        <f t="shared" si="36"/>
        <v>574706.7100000002</v>
      </c>
      <c r="E2636" s="762">
        <v>317158.12000000017</v>
      </c>
      <c r="F2636" s="479">
        <v>200</v>
      </c>
      <c r="G2636" s="589">
        <v>257348.59</v>
      </c>
    </row>
    <row r="2637" spans="3:7" x14ac:dyDescent="0.2">
      <c r="C2637" s="810" t="s">
        <v>309</v>
      </c>
      <c r="D2637" s="331">
        <f t="shared" si="36"/>
        <v>551723.7100000002</v>
      </c>
      <c r="E2637" s="762">
        <v>317033.12000000017</v>
      </c>
      <c r="F2637" s="479">
        <v>-22658</v>
      </c>
      <c r="G2637" s="589">
        <v>257348.59</v>
      </c>
    </row>
    <row r="2638" spans="3:7" x14ac:dyDescent="0.2">
      <c r="C2638" s="810" t="s">
        <v>309</v>
      </c>
      <c r="D2638" s="331">
        <f t="shared" si="36"/>
        <v>574431.7100000002</v>
      </c>
      <c r="E2638" s="762">
        <v>316883.12000000017</v>
      </c>
      <c r="F2638" s="479">
        <v>200</v>
      </c>
      <c r="G2638" s="589">
        <v>257348.59</v>
      </c>
    </row>
    <row r="2639" spans="3:7" x14ac:dyDescent="0.2">
      <c r="C2639" s="810" t="s">
        <v>309</v>
      </c>
      <c r="D2639" s="331">
        <f t="shared" si="36"/>
        <v>608036.88000000012</v>
      </c>
      <c r="E2639" s="762">
        <v>310999.29000000015</v>
      </c>
      <c r="F2639" s="479">
        <v>39689</v>
      </c>
      <c r="G2639" s="589">
        <v>257348.59</v>
      </c>
    </row>
    <row r="2640" spans="3:7" x14ac:dyDescent="0.2">
      <c r="C2640" s="810" t="s">
        <v>309</v>
      </c>
      <c r="D2640" s="331">
        <f t="shared" si="36"/>
        <v>580688.83000000019</v>
      </c>
      <c r="E2640" s="762">
        <v>310982.24000000017</v>
      </c>
      <c r="F2640" s="479">
        <v>12358</v>
      </c>
      <c r="G2640" s="589">
        <v>257348.59</v>
      </c>
    </row>
    <row r="2641" spans="3:7" x14ac:dyDescent="0.2">
      <c r="C2641" s="810" t="s">
        <v>309</v>
      </c>
      <c r="D2641" s="331">
        <f t="shared" si="36"/>
        <v>578881.98000000021</v>
      </c>
      <c r="E2641" s="762">
        <v>310360.39000000019</v>
      </c>
      <c r="F2641" s="479">
        <v>11173</v>
      </c>
      <c r="G2641" s="589">
        <v>257348.59</v>
      </c>
    </row>
    <row r="2642" spans="3:7" x14ac:dyDescent="0.2">
      <c r="C2642" s="810" t="s">
        <v>309</v>
      </c>
      <c r="D2642" s="331">
        <f t="shared" si="36"/>
        <v>567210.98000000021</v>
      </c>
      <c r="E2642" s="762">
        <v>309860.39000000019</v>
      </c>
      <c r="F2642" s="479">
        <v>2</v>
      </c>
      <c r="G2642" s="589">
        <v>257348.59</v>
      </c>
    </row>
    <row r="2643" spans="3:7" x14ac:dyDescent="0.2">
      <c r="C2643" s="810" t="s">
        <v>309</v>
      </c>
      <c r="D2643" s="331">
        <f t="shared" si="36"/>
        <v>566297.50000000023</v>
      </c>
      <c r="E2643" s="762">
        <v>308948.91000000021</v>
      </c>
      <c r="G2643" s="589">
        <v>257348.59</v>
      </c>
    </row>
    <row r="2644" spans="3:7" x14ac:dyDescent="0.2">
      <c r="C2644" s="810" t="s">
        <v>309</v>
      </c>
      <c r="D2644" s="331">
        <f t="shared" si="36"/>
        <v>565858.82000000018</v>
      </c>
      <c r="E2644" s="762">
        <v>308510.23000000021</v>
      </c>
      <c r="G2644" s="589">
        <v>257348.59</v>
      </c>
    </row>
    <row r="2645" spans="3:7" x14ac:dyDescent="0.2">
      <c r="C2645" s="810" t="s">
        <v>309</v>
      </c>
      <c r="D2645" s="331">
        <f t="shared" si="36"/>
        <v>565345.58000000019</v>
      </c>
      <c r="E2645" s="762">
        <v>307996.99000000022</v>
      </c>
      <c r="G2645" s="589">
        <v>257348.59</v>
      </c>
    </row>
    <row r="2646" spans="3:7" x14ac:dyDescent="0.2">
      <c r="C2646" s="810" t="s">
        <v>309</v>
      </c>
      <c r="D2646" s="331">
        <f t="shared" ref="D2646:D2709" si="37">E2646+F2646+G2646</f>
        <v>564638.2100000002</v>
      </c>
      <c r="E2646" s="762">
        <v>307289.62000000023</v>
      </c>
      <c r="G2646" s="589">
        <v>257348.59</v>
      </c>
    </row>
    <row r="2647" spans="3:7" x14ac:dyDescent="0.2">
      <c r="C2647" s="810" t="s">
        <v>309</v>
      </c>
      <c r="D2647" s="331">
        <f t="shared" si="37"/>
        <v>564499.4600000002</v>
      </c>
      <c r="E2647" s="762">
        <v>307150.87000000023</v>
      </c>
      <c r="G2647" s="589">
        <v>257348.59</v>
      </c>
    </row>
    <row r="2648" spans="3:7" x14ac:dyDescent="0.2">
      <c r="C2648" s="810" t="s">
        <v>309</v>
      </c>
      <c r="D2648" s="331">
        <f t="shared" si="37"/>
        <v>561034.4600000002</v>
      </c>
      <c r="E2648" s="762">
        <v>303685.87000000023</v>
      </c>
      <c r="G2648" s="589">
        <v>257348.59</v>
      </c>
    </row>
    <row r="2649" spans="3:7" x14ac:dyDescent="0.2">
      <c r="C2649" s="810" t="s">
        <v>309</v>
      </c>
      <c r="D2649" s="331">
        <f t="shared" si="37"/>
        <v>560898.49000000022</v>
      </c>
      <c r="E2649" s="762">
        <v>303549.90000000026</v>
      </c>
      <c r="G2649" s="589">
        <v>257348.59</v>
      </c>
    </row>
    <row r="2650" spans="3:7" x14ac:dyDescent="0.2">
      <c r="C2650" s="810" t="s">
        <v>309</v>
      </c>
      <c r="D2650" s="331">
        <f t="shared" si="37"/>
        <v>560630.44000000029</v>
      </c>
      <c r="E2650" s="762">
        <v>303281.85000000027</v>
      </c>
      <c r="G2650" s="589">
        <v>257348.59</v>
      </c>
    </row>
    <row r="2651" spans="3:7" x14ac:dyDescent="0.2">
      <c r="C2651" s="810" t="s">
        <v>309</v>
      </c>
      <c r="D2651" s="331">
        <f t="shared" si="37"/>
        <v>537781.44000000029</v>
      </c>
      <c r="E2651" s="762">
        <v>280432.85000000027</v>
      </c>
      <c r="G2651" s="589">
        <v>257348.59</v>
      </c>
    </row>
    <row r="2652" spans="3:7" x14ac:dyDescent="0.2">
      <c r="C2652" s="810" t="s">
        <v>310</v>
      </c>
      <c r="D2652" s="331">
        <f t="shared" si="37"/>
        <v>537691.44000000029</v>
      </c>
      <c r="E2652" s="762">
        <v>280342.85000000027</v>
      </c>
      <c r="G2652" s="589">
        <v>257348.59</v>
      </c>
    </row>
    <row r="2653" spans="3:7" x14ac:dyDescent="0.2">
      <c r="C2653" s="810" t="s">
        <v>310</v>
      </c>
      <c r="D2653" s="331">
        <f t="shared" si="37"/>
        <v>537473.01000000024</v>
      </c>
      <c r="E2653" s="762">
        <v>280124.42000000027</v>
      </c>
      <c r="G2653" s="589">
        <v>257348.59</v>
      </c>
    </row>
    <row r="2654" spans="3:7" x14ac:dyDescent="0.2">
      <c r="C2654" s="810" t="s">
        <v>310</v>
      </c>
      <c r="D2654" s="331">
        <f t="shared" si="37"/>
        <v>537435.21000000031</v>
      </c>
      <c r="E2654" s="762">
        <v>280086.62000000029</v>
      </c>
      <c r="G2654" s="589">
        <v>257348.59</v>
      </c>
    </row>
    <row r="2655" spans="3:7" x14ac:dyDescent="0.2">
      <c r="C2655" s="810" t="s">
        <v>310</v>
      </c>
      <c r="D2655" s="331">
        <f t="shared" si="37"/>
        <v>537296.42000000027</v>
      </c>
      <c r="E2655" s="762">
        <v>279947.83000000031</v>
      </c>
      <c r="G2655" s="589">
        <v>257348.59</v>
      </c>
    </row>
    <row r="2656" spans="3:7" x14ac:dyDescent="0.2">
      <c r="C2656" s="810" t="s">
        <v>310</v>
      </c>
      <c r="D2656" s="331">
        <f t="shared" si="37"/>
        <v>536978.58000000031</v>
      </c>
      <c r="E2656" s="762">
        <v>279629.99000000028</v>
      </c>
      <c r="G2656" s="589">
        <v>257348.59</v>
      </c>
    </row>
    <row r="2657" spans="3:7" x14ac:dyDescent="0.2">
      <c r="C2657" s="810" t="s">
        <v>310</v>
      </c>
      <c r="D2657" s="331">
        <f t="shared" si="37"/>
        <v>536383.58000000031</v>
      </c>
      <c r="E2657" s="762">
        <v>279034.99000000028</v>
      </c>
      <c r="G2657" s="589">
        <v>257348.59</v>
      </c>
    </row>
    <row r="2658" spans="3:7" x14ac:dyDescent="0.2">
      <c r="C2658" s="810" t="s">
        <v>310</v>
      </c>
      <c r="D2658" s="331">
        <f t="shared" si="37"/>
        <v>531383.58000000031</v>
      </c>
      <c r="E2658" s="762">
        <v>274034.99000000028</v>
      </c>
      <c r="G2658" s="589">
        <v>257348.59</v>
      </c>
    </row>
    <row r="2659" spans="3:7" x14ac:dyDescent="0.2">
      <c r="C2659" s="810" t="s">
        <v>310</v>
      </c>
      <c r="D2659" s="331">
        <f t="shared" si="37"/>
        <v>531073.38000000024</v>
      </c>
      <c r="E2659" s="762">
        <v>273724.79000000027</v>
      </c>
      <c r="G2659" s="589">
        <v>257348.59</v>
      </c>
    </row>
    <row r="2660" spans="3:7" x14ac:dyDescent="0.2">
      <c r="C2660" s="810" t="s">
        <v>310</v>
      </c>
      <c r="D2660" s="331">
        <f t="shared" si="37"/>
        <v>530921.86000000022</v>
      </c>
      <c r="E2660" s="762">
        <v>273573.27000000025</v>
      </c>
      <c r="G2660" s="589">
        <v>257348.59</v>
      </c>
    </row>
    <row r="2661" spans="3:7" x14ac:dyDescent="0.2">
      <c r="C2661" s="810" t="s">
        <v>310</v>
      </c>
      <c r="D2661" s="331">
        <f t="shared" si="37"/>
        <v>530909.9600000002</v>
      </c>
      <c r="E2661" s="762">
        <v>273561.37000000023</v>
      </c>
      <c r="G2661" s="589">
        <v>257348.59</v>
      </c>
    </row>
    <row r="2662" spans="3:7" x14ac:dyDescent="0.2">
      <c r="C2662" s="810" t="s">
        <v>310</v>
      </c>
      <c r="D2662" s="331">
        <f t="shared" si="37"/>
        <v>530296.35000000021</v>
      </c>
      <c r="E2662" s="762">
        <v>272947.76000000024</v>
      </c>
      <c r="G2662" s="589">
        <v>257348.59</v>
      </c>
    </row>
    <row r="2663" spans="3:7" x14ac:dyDescent="0.2">
      <c r="C2663" s="810" t="s">
        <v>310</v>
      </c>
      <c r="D2663" s="331">
        <f t="shared" si="37"/>
        <v>530156.35000000021</v>
      </c>
      <c r="E2663" s="762">
        <v>272807.76000000024</v>
      </c>
      <c r="G2663" s="589">
        <v>257348.59</v>
      </c>
    </row>
    <row r="2664" spans="3:7" x14ac:dyDescent="0.2">
      <c r="C2664" s="810" t="s">
        <v>310</v>
      </c>
      <c r="D2664" s="331">
        <f t="shared" si="37"/>
        <v>528379.35000000021</v>
      </c>
      <c r="E2664" s="762">
        <v>271030.76000000024</v>
      </c>
      <c r="G2664" s="589">
        <v>257348.59</v>
      </c>
    </row>
    <row r="2665" spans="3:7" x14ac:dyDescent="0.2">
      <c r="C2665" s="810" t="s">
        <v>310</v>
      </c>
      <c r="D2665" s="331">
        <f t="shared" si="37"/>
        <v>528200.85000000021</v>
      </c>
      <c r="E2665" s="762">
        <v>270852.26000000024</v>
      </c>
      <c r="G2665" s="589">
        <v>257348.59</v>
      </c>
    </row>
    <row r="2666" spans="3:7" x14ac:dyDescent="0.2">
      <c r="C2666" s="810" t="s">
        <v>310</v>
      </c>
      <c r="D2666" s="331">
        <f t="shared" si="37"/>
        <v>528098.38000000024</v>
      </c>
      <c r="E2666" s="762">
        <v>270749.79000000027</v>
      </c>
      <c r="G2666" s="589">
        <v>257348.59</v>
      </c>
    </row>
    <row r="2667" spans="3:7" x14ac:dyDescent="0.2">
      <c r="C2667" s="810" t="s">
        <v>311</v>
      </c>
      <c r="D2667" s="331">
        <f t="shared" si="37"/>
        <v>528063.88000000024</v>
      </c>
      <c r="E2667" s="762">
        <v>270715.29000000027</v>
      </c>
      <c r="G2667" s="589">
        <v>257348.59</v>
      </c>
    </row>
    <row r="2668" spans="3:7" x14ac:dyDescent="0.2">
      <c r="C2668" s="810" t="s">
        <v>312</v>
      </c>
      <c r="D2668" s="331">
        <f t="shared" si="37"/>
        <v>488574.49000000022</v>
      </c>
      <c r="E2668" s="762">
        <v>231225.90000000026</v>
      </c>
      <c r="G2668" s="589">
        <v>257348.59</v>
      </c>
    </row>
    <row r="2669" spans="3:7" x14ac:dyDescent="0.2">
      <c r="C2669" s="810" t="s">
        <v>313</v>
      </c>
      <c r="D2669" s="331">
        <f t="shared" si="37"/>
        <v>489433.49000000022</v>
      </c>
      <c r="E2669" s="762">
        <v>231100.90000000026</v>
      </c>
      <c r="F2669">
        <v>984</v>
      </c>
      <c r="G2669" s="589">
        <v>257348.59</v>
      </c>
    </row>
    <row r="2670" spans="3:7" x14ac:dyDescent="0.2">
      <c r="C2670" s="810" t="s">
        <v>313</v>
      </c>
      <c r="D2670" s="331">
        <f t="shared" si="37"/>
        <v>489379.97000000026</v>
      </c>
      <c r="E2670" s="762">
        <v>231047.38000000027</v>
      </c>
      <c r="F2670">
        <v>984</v>
      </c>
      <c r="G2670" s="589">
        <v>257348.59</v>
      </c>
    </row>
    <row r="2671" spans="3:7" x14ac:dyDescent="0.2">
      <c r="C2671" s="810" t="s">
        <v>313</v>
      </c>
      <c r="D2671" s="331">
        <f t="shared" si="37"/>
        <v>489302.29000000027</v>
      </c>
      <c r="E2671" s="762">
        <v>230969.70000000027</v>
      </c>
      <c r="F2671">
        <v>984</v>
      </c>
      <c r="G2671" s="589">
        <v>257348.59</v>
      </c>
    </row>
    <row r="2672" spans="3:7" x14ac:dyDescent="0.2">
      <c r="C2672" s="810" t="s">
        <v>313</v>
      </c>
      <c r="D2672" s="331">
        <f t="shared" si="37"/>
        <v>485869.14000000025</v>
      </c>
      <c r="E2672" s="762">
        <v>227536.55000000028</v>
      </c>
      <c r="F2672">
        <v>984</v>
      </c>
      <c r="G2672" s="589">
        <v>257348.59</v>
      </c>
    </row>
    <row r="2673" spans="3:7" x14ac:dyDescent="0.2">
      <c r="C2673" s="810" t="s">
        <v>313</v>
      </c>
      <c r="D2673" s="331">
        <f t="shared" si="37"/>
        <v>485650.71000000031</v>
      </c>
      <c r="E2673" s="762">
        <v>227318.12000000029</v>
      </c>
      <c r="F2673">
        <v>984</v>
      </c>
      <c r="G2673" s="589">
        <v>257348.59</v>
      </c>
    </row>
    <row r="2674" spans="3:7" x14ac:dyDescent="0.2">
      <c r="C2674" s="810" t="s">
        <v>313</v>
      </c>
      <c r="D2674" s="331">
        <f t="shared" si="37"/>
        <v>485563.30000000028</v>
      </c>
      <c r="E2674" s="762">
        <v>227230.71000000028</v>
      </c>
      <c r="F2674">
        <v>984</v>
      </c>
      <c r="G2674" s="589">
        <v>257348.59</v>
      </c>
    </row>
    <row r="2675" spans="3:7" x14ac:dyDescent="0.2">
      <c r="C2675" s="810" t="s">
        <v>313</v>
      </c>
      <c r="D2675" s="331">
        <f t="shared" si="37"/>
        <v>485499.69000000029</v>
      </c>
      <c r="E2675" s="762">
        <v>227167.1000000003</v>
      </c>
      <c r="F2675">
        <v>984</v>
      </c>
      <c r="G2675" s="589">
        <v>257348.59</v>
      </c>
    </row>
    <row r="2676" spans="3:7" x14ac:dyDescent="0.2">
      <c r="C2676" s="810" t="s">
        <v>313</v>
      </c>
      <c r="D2676" s="331">
        <f t="shared" si="37"/>
        <v>485236.69000000029</v>
      </c>
      <c r="E2676" s="762">
        <v>226904.1000000003</v>
      </c>
      <c r="F2676">
        <v>984</v>
      </c>
      <c r="G2676" s="589">
        <v>257348.59</v>
      </c>
    </row>
    <row r="2677" spans="3:7" x14ac:dyDescent="0.2">
      <c r="C2677" s="810" t="s">
        <v>313</v>
      </c>
      <c r="D2677" s="331">
        <f t="shared" si="37"/>
        <v>485221.69000000029</v>
      </c>
      <c r="E2677" s="762">
        <v>226889.1000000003</v>
      </c>
      <c r="F2677">
        <v>984</v>
      </c>
      <c r="G2677" s="589">
        <v>257348.59</v>
      </c>
    </row>
    <row r="2678" spans="3:7" x14ac:dyDescent="0.2">
      <c r="C2678" s="810" t="s">
        <v>313</v>
      </c>
      <c r="D2678" s="331">
        <f t="shared" si="37"/>
        <v>485221.69000000029</v>
      </c>
      <c r="E2678" s="762">
        <v>226889.1000000003</v>
      </c>
      <c r="F2678">
        <v>984</v>
      </c>
      <c r="G2678" s="589">
        <v>257348.59</v>
      </c>
    </row>
    <row r="2679" spans="3:7" x14ac:dyDescent="0.2">
      <c r="C2679" s="810" t="s">
        <v>313</v>
      </c>
      <c r="D2679" s="331">
        <f t="shared" si="37"/>
        <v>485095.69000000029</v>
      </c>
      <c r="E2679" s="762">
        <v>226763.1000000003</v>
      </c>
      <c r="F2679">
        <v>984</v>
      </c>
      <c r="G2679" s="589">
        <v>257348.59</v>
      </c>
    </row>
    <row r="2680" spans="3:7" x14ac:dyDescent="0.2">
      <c r="C2680" s="810" t="s">
        <v>313</v>
      </c>
      <c r="D2680" s="331">
        <f t="shared" si="37"/>
        <v>484028.89000000031</v>
      </c>
      <c r="E2680" s="762">
        <v>225696.30000000031</v>
      </c>
      <c r="F2680">
        <v>984</v>
      </c>
      <c r="G2680" s="589">
        <v>257348.59</v>
      </c>
    </row>
    <row r="2681" spans="3:7" x14ac:dyDescent="0.2">
      <c r="C2681" s="810" t="s">
        <v>313</v>
      </c>
      <c r="D2681" s="331">
        <f t="shared" si="37"/>
        <v>483998.04000000027</v>
      </c>
      <c r="E2681" s="762">
        <v>225665.4500000003</v>
      </c>
      <c r="F2681">
        <v>984</v>
      </c>
      <c r="G2681" s="589">
        <v>257348.59</v>
      </c>
    </row>
    <row r="2682" spans="3:7" x14ac:dyDescent="0.2">
      <c r="C2682" s="810" t="s">
        <v>313</v>
      </c>
      <c r="D2682" s="331">
        <f t="shared" si="37"/>
        <v>483454.24000000034</v>
      </c>
      <c r="E2682" s="762">
        <v>225121.65000000031</v>
      </c>
      <c r="F2682">
        <v>984</v>
      </c>
      <c r="G2682" s="589">
        <v>257348.59</v>
      </c>
    </row>
    <row r="2683" spans="3:7" x14ac:dyDescent="0.2">
      <c r="C2683" s="810" t="s">
        <v>313</v>
      </c>
      <c r="D2683" s="331">
        <f t="shared" si="37"/>
        <v>483454.24000000034</v>
      </c>
      <c r="E2683" s="762">
        <v>225121.65000000031</v>
      </c>
      <c r="F2683">
        <v>984</v>
      </c>
      <c r="G2683" s="589">
        <v>257348.59</v>
      </c>
    </row>
    <row r="2684" spans="3:7" x14ac:dyDescent="0.2">
      <c r="C2684" s="810" t="s">
        <v>313</v>
      </c>
      <c r="D2684" s="331">
        <f t="shared" si="37"/>
        <v>482519.37000000029</v>
      </c>
      <c r="E2684" s="762">
        <v>224970.2000000003</v>
      </c>
      <c r="F2684">
        <v>200.58</v>
      </c>
      <c r="G2684" s="589">
        <v>257348.59</v>
      </c>
    </row>
    <row r="2685" spans="3:7" x14ac:dyDescent="0.2">
      <c r="C2685" s="810" t="s">
        <v>314</v>
      </c>
      <c r="D2685" s="331">
        <f t="shared" si="37"/>
        <v>482238.23000000027</v>
      </c>
      <c r="E2685" s="762">
        <v>224689.06000000029</v>
      </c>
      <c r="F2685">
        <v>200.58</v>
      </c>
      <c r="G2685" s="589">
        <v>257348.59</v>
      </c>
    </row>
    <row r="2686" spans="3:7" x14ac:dyDescent="0.2">
      <c r="C2686" s="810" t="s">
        <v>315</v>
      </c>
      <c r="D2686" s="331">
        <f t="shared" si="37"/>
        <v>482266.54000000027</v>
      </c>
      <c r="E2686" s="762">
        <v>224717.37000000029</v>
      </c>
      <c r="F2686">
        <v>200.58</v>
      </c>
      <c r="G2686" s="589">
        <v>257348.59</v>
      </c>
    </row>
    <row r="2687" spans="3:7" x14ac:dyDescent="0.2">
      <c r="C2687" s="810" t="s">
        <v>316</v>
      </c>
      <c r="D2687" s="331">
        <f t="shared" si="37"/>
        <v>482336.54000000027</v>
      </c>
      <c r="E2687" s="762">
        <v>224787.37000000029</v>
      </c>
      <c r="F2687">
        <v>200.58</v>
      </c>
      <c r="G2687" s="589">
        <v>257348.59</v>
      </c>
    </row>
    <row r="2688" spans="3:7" x14ac:dyDescent="0.2">
      <c r="C2688" s="810" t="s">
        <v>316</v>
      </c>
      <c r="D2688" s="331">
        <f t="shared" si="37"/>
        <v>482930.54000000027</v>
      </c>
      <c r="E2688" s="762">
        <v>225381.37000000029</v>
      </c>
      <c r="F2688">
        <v>200.58</v>
      </c>
      <c r="G2688" s="589">
        <v>257348.59</v>
      </c>
    </row>
    <row r="2689" spans="3:7" x14ac:dyDescent="0.2">
      <c r="C2689" s="810" t="s">
        <v>316</v>
      </c>
      <c r="D2689" s="331">
        <f t="shared" si="37"/>
        <v>483255.54000000027</v>
      </c>
      <c r="E2689" s="762">
        <v>225706.37000000029</v>
      </c>
      <c r="F2689">
        <v>200.58</v>
      </c>
      <c r="G2689" s="589">
        <v>257348.59</v>
      </c>
    </row>
    <row r="2690" spans="3:7" x14ac:dyDescent="0.2">
      <c r="C2690" s="810" t="s">
        <v>316</v>
      </c>
      <c r="D2690" s="331">
        <f t="shared" si="37"/>
        <v>483420.54000000027</v>
      </c>
      <c r="E2690" s="762">
        <v>225871.37000000029</v>
      </c>
      <c r="F2690">
        <v>200.58</v>
      </c>
      <c r="G2690" s="589">
        <v>257348.59</v>
      </c>
    </row>
    <row r="2691" spans="3:7" x14ac:dyDescent="0.2">
      <c r="C2691" s="810" t="s">
        <v>316</v>
      </c>
      <c r="D2691" s="331">
        <f t="shared" si="37"/>
        <v>487008.74000000028</v>
      </c>
      <c r="E2691" s="762">
        <v>229459.5700000003</v>
      </c>
      <c r="F2691">
        <v>200.58</v>
      </c>
      <c r="G2691" s="589">
        <v>257348.59</v>
      </c>
    </row>
    <row r="2692" spans="3:7" x14ac:dyDescent="0.2">
      <c r="C2692" s="810" t="s">
        <v>316</v>
      </c>
      <c r="D2692" s="331">
        <f t="shared" si="37"/>
        <v>487105.24000000028</v>
      </c>
      <c r="E2692" s="762">
        <v>229556.0700000003</v>
      </c>
      <c r="F2692">
        <v>200.58</v>
      </c>
      <c r="G2692" s="589">
        <v>257348.59</v>
      </c>
    </row>
    <row r="2693" spans="3:7" x14ac:dyDescent="0.2">
      <c r="C2693" s="810" t="s">
        <v>316</v>
      </c>
      <c r="D2693" s="331">
        <f t="shared" si="37"/>
        <v>504280.04000000027</v>
      </c>
      <c r="E2693" s="762">
        <v>246730.87000000029</v>
      </c>
      <c r="F2693">
        <v>200.58</v>
      </c>
      <c r="G2693" s="589">
        <v>257348.59</v>
      </c>
    </row>
    <row r="2694" spans="3:7" x14ac:dyDescent="0.2">
      <c r="C2694" s="810" t="s">
        <v>317</v>
      </c>
      <c r="D2694" s="331">
        <f t="shared" si="37"/>
        <v>503880.04000000027</v>
      </c>
      <c r="E2694" s="762">
        <v>246330.87000000029</v>
      </c>
      <c r="F2694">
        <v>200.58</v>
      </c>
      <c r="G2694" s="589">
        <v>257348.59</v>
      </c>
    </row>
    <row r="2695" spans="3:7" x14ac:dyDescent="0.2">
      <c r="C2695" s="810" t="s">
        <v>318</v>
      </c>
      <c r="D2695" s="331">
        <f t="shared" si="37"/>
        <v>503879.7000000003</v>
      </c>
      <c r="E2695" s="762">
        <v>207590.11000000028</v>
      </c>
      <c r="F2695">
        <v>38941</v>
      </c>
      <c r="G2695" s="589">
        <v>257348.59</v>
      </c>
    </row>
    <row r="2696" spans="3:7" x14ac:dyDescent="0.2">
      <c r="C2696" s="810" t="s">
        <v>319</v>
      </c>
      <c r="D2696" s="331">
        <f t="shared" si="37"/>
        <v>475525.52000000025</v>
      </c>
      <c r="E2696" s="762">
        <v>206006.93000000028</v>
      </c>
      <c r="F2696">
        <v>12170</v>
      </c>
      <c r="G2696" s="589">
        <v>257348.59</v>
      </c>
    </row>
    <row r="2697" spans="3:7" x14ac:dyDescent="0.2">
      <c r="C2697" s="810" t="s">
        <v>319</v>
      </c>
      <c r="D2697" s="331">
        <f t="shared" si="37"/>
        <v>473783.38000000024</v>
      </c>
      <c r="E2697" s="762">
        <v>205449.79000000027</v>
      </c>
      <c r="F2697">
        <v>10985</v>
      </c>
      <c r="G2697" s="589">
        <v>257348.59</v>
      </c>
    </row>
    <row r="2698" spans="3:7" x14ac:dyDescent="0.2">
      <c r="C2698" s="810" t="s">
        <v>319</v>
      </c>
      <c r="D2698" s="331">
        <f t="shared" si="37"/>
        <v>466000.28000000026</v>
      </c>
      <c r="E2698" s="762">
        <v>205422.69000000026</v>
      </c>
      <c r="F2698">
        <v>3229</v>
      </c>
      <c r="G2698" s="589">
        <v>257348.59</v>
      </c>
    </row>
    <row r="2699" spans="3:7" x14ac:dyDescent="0.2">
      <c r="C2699" s="810" t="s">
        <v>319</v>
      </c>
      <c r="D2699" s="331">
        <f t="shared" si="37"/>
        <v>463447.67000000027</v>
      </c>
      <c r="E2699" s="762">
        <v>205107.69000000026</v>
      </c>
      <c r="F2699">
        <v>991.39</v>
      </c>
      <c r="G2699" s="589">
        <v>257348.59</v>
      </c>
    </row>
    <row r="2700" spans="3:7" x14ac:dyDescent="0.2">
      <c r="C2700" s="810" t="s">
        <v>319</v>
      </c>
      <c r="D2700" s="331">
        <f t="shared" si="37"/>
        <v>463380.54000000027</v>
      </c>
      <c r="E2700" s="762">
        <v>205040.56000000026</v>
      </c>
      <c r="F2700">
        <v>991.39</v>
      </c>
      <c r="G2700" s="589">
        <v>257348.59</v>
      </c>
    </row>
    <row r="2701" spans="3:7" x14ac:dyDescent="0.2">
      <c r="C2701" s="810" t="s">
        <v>319</v>
      </c>
      <c r="D2701" s="331">
        <f t="shared" si="37"/>
        <v>462110.64000000025</v>
      </c>
      <c r="E2701" s="762">
        <v>204562.05000000025</v>
      </c>
      <c r="F2701">
        <v>200</v>
      </c>
      <c r="G2701" s="589">
        <v>257348.59</v>
      </c>
    </row>
    <row r="2702" spans="3:7" x14ac:dyDescent="0.2">
      <c r="C2702" s="810" t="s">
        <v>319</v>
      </c>
      <c r="D2702" s="331">
        <f t="shared" si="37"/>
        <v>461892.21000000025</v>
      </c>
      <c r="E2702" s="762">
        <v>204343.62000000026</v>
      </c>
      <c r="F2702">
        <v>200</v>
      </c>
      <c r="G2702" s="589">
        <v>257348.59</v>
      </c>
    </row>
    <row r="2703" spans="3:7" x14ac:dyDescent="0.2">
      <c r="C2703" s="810" t="s">
        <v>319</v>
      </c>
      <c r="D2703" s="331">
        <f t="shared" si="37"/>
        <v>461825.23000000021</v>
      </c>
      <c r="E2703" s="762">
        <v>204276.64000000025</v>
      </c>
      <c r="F2703">
        <v>200</v>
      </c>
      <c r="G2703" s="589">
        <v>257348.59</v>
      </c>
    </row>
    <row r="2704" spans="3:7" x14ac:dyDescent="0.2">
      <c r="C2704" s="810" t="s">
        <v>319</v>
      </c>
      <c r="D2704" s="331">
        <f t="shared" si="37"/>
        <v>461561.30000000028</v>
      </c>
      <c r="E2704" s="762">
        <v>204012.71000000025</v>
      </c>
      <c r="F2704">
        <v>200</v>
      </c>
      <c r="G2704" s="589">
        <v>257348.59</v>
      </c>
    </row>
    <row r="2705" spans="3:7" x14ac:dyDescent="0.2">
      <c r="C2705" s="810" t="s">
        <v>319</v>
      </c>
      <c r="D2705" s="331">
        <f t="shared" si="37"/>
        <v>461122.62000000023</v>
      </c>
      <c r="E2705" s="762">
        <v>203574.03000000026</v>
      </c>
      <c r="F2705">
        <v>200</v>
      </c>
      <c r="G2705" s="589">
        <v>257348.59</v>
      </c>
    </row>
    <row r="2706" spans="3:7" x14ac:dyDescent="0.2">
      <c r="C2706" s="810" t="s">
        <v>319</v>
      </c>
      <c r="D2706" s="331">
        <f t="shared" si="37"/>
        <v>460869.63000000024</v>
      </c>
      <c r="E2706" s="762">
        <v>203321.04000000027</v>
      </c>
      <c r="F2706">
        <v>200</v>
      </c>
      <c r="G2706" s="589">
        <v>257348.59</v>
      </c>
    </row>
    <row r="2707" spans="3:7" x14ac:dyDescent="0.2">
      <c r="C2707" s="810" t="s">
        <v>319</v>
      </c>
      <c r="D2707" s="331">
        <f t="shared" si="37"/>
        <v>460761.65000000026</v>
      </c>
      <c r="E2707" s="762">
        <v>203213.06000000026</v>
      </c>
      <c r="F2707">
        <v>200</v>
      </c>
      <c r="G2707" s="589">
        <v>257348.59</v>
      </c>
    </row>
    <row r="2708" spans="3:7" x14ac:dyDescent="0.2">
      <c r="C2708" s="810" t="s">
        <v>319</v>
      </c>
      <c r="D2708" s="331">
        <f t="shared" si="37"/>
        <v>460761.65000000026</v>
      </c>
      <c r="E2708" s="762">
        <v>203213.06000000026</v>
      </c>
      <c r="F2708">
        <v>200</v>
      </c>
      <c r="G2708" s="589">
        <v>257348.59</v>
      </c>
    </row>
    <row r="2709" spans="3:7" x14ac:dyDescent="0.2">
      <c r="C2709" s="810" t="s">
        <v>320</v>
      </c>
      <c r="D2709" s="331">
        <f t="shared" si="37"/>
        <v>460196.65000000026</v>
      </c>
      <c r="E2709" s="762">
        <v>202648.06000000026</v>
      </c>
      <c r="F2709">
        <v>200</v>
      </c>
      <c r="G2709" s="589">
        <v>257348.59</v>
      </c>
    </row>
    <row r="2710" spans="3:7" x14ac:dyDescent="0.2">
      <c r="C2710" s="810" t="s">
        <v>320</v>
      </c>
      <c r="D2710" s="331">
        <f t="shared" ref="D2710:D2773" si="38">E2710+F2710+G2710</f>
        <v>459915.51000000024</v>
      </c>
      <c r="E2710" s="762">
        <v>202366.92000000025</v>
      </c>
      <c r="F2710">
        <v>200</v>
      </c>
      <c r="G2710" s="589">
        <v>257348.59</v>
      </c>
    </row>
    <row r="2711" spans="3:7" x14ac:dyDescent="0.2">
      <c r="C2711" s="810" t="s">
        <v>320</v>
      </c>
      <c r="D2711" s="331">
        <f t="shared" si="38"/>
        <v>459886.41000000027</v>
      </c>
      <c r="E2711" s="762">
        <v>202337.82000000024</v>
      </c>
      <c r="F2711">
        <v>200</v>
      </c>
      <c r="G2711" s="589">
        <v>257348.59</v>
      </c>
    </row>
    <row r="2712" spans="3:7" x14ac:dyDescent="0.2">
      <c r="C2712" s="810" t="s">
        <v>321</v>
      </c>
      <c r="D2712" s="331">
        <f t="shared" si="38"/>
        <v>455663.64000000025</v>
      </c>
      <c r="E2712" s="762">
        <v>198115.05000000025</v>
      </c>
      <c r="F2712">
        <v>200</v>
      </c>
      <c r="G2712" s="589">
        <v>257348.59</v>
      </c>
    </row>
    <row r="2713" spans="3:7" x14ac:dyDescent="0.2">
      <c r="C2713" s="810" t="s">
        <v>322</v>
      </c>
      <c r="D2713" s="331">
        <f t="shared" si="38"/>
        <v>461338.53000000026</v>
      </c>
      <c r="E2713" s="762">
        <v>198061.53000000026</v>
      </c>
      <c r="F2713">
        <v>4423</v>
      </c>
      <c r="G2713" s="589">
        <v>258854</v>
      </c>
    </row>
    <row r="2714" spans="3:7" x14ac:dyDescent="0.2">
      <c r="C2714" s="810" t="s">
        <v>322</v>
      </c>
      <c r="D2714" s="331">
        <f t="shared" si="38"/>
        <v>456865.53000000026</v>
      </c>
      <c r="E2714" s="762">
        <v>197811.53000000026</v>
      </c>
      <c r="F2714">
        <v>200</v>
      </c>
      <c r="G2714" s="589">
        <v>258854</v>
      </c>
    </row>
    <row r="2715" spans="3:7" x14ac:dyDescent="0.2">
      <c r="C2715" s="810" t="s">
        <v>322</v>
      </c>
      <c r="D2715" s="331">
        <f t="shared" si="38"/>
        <v>497366.83000000025</v>
      </c>
      <c r="E2715" s="762">
        <v>197615.83000000025</v>
      </c>
      <c r="F2715">
        <v>40897</v>
      </c>
      <c r="G2715" s="589">
        <v>258854</v>
      </c>
    </row>
    <row r="2716" spans="3:7" x14ac:dyDescent="0.2">
      <c r="C2716" s="810" t="s">
        <v>322</v>
      </c>
      <c r="D2716" s="331">
        <f t="shared" si="38"/>
        <v>491483.00000000023</v>
      </c>
      <c r="E2716" s="762">
        <v>191732.00000000026</v>
      </c>
      <c r="F2716">
        <v>40897</v>
      </c>
      <c r="G2716" s="589">
        <v>258854</v>
      </c>
    </row>
    <row r="2717" spans="3:7" x14ac:dyDescent="0.2">
      <c r="C2717" s="810" t="s">
        <v>322</v>
      </c>
      <c r="D2717" s="331">
        <f t="shared" si="38"/>
        <v>491470.85000000027</v>
      </c>
      <c r="E2717" s="762">
        <v>191719.85000000027</v>
      </c>
      <c r="F2717">
        <v>40897</v>
      </c>
      <c r="G2717" s="589">
        <v>258854</v>
      </c>
    </row>
    <row r="2718" spans="3:7" x14ac:dyDescent="0.2">
      <c r="C2718" s="810" t="s">
        <v>322</v>
      </c>
      <c r="D2718" s="331">
        <f t="shared" si="38"/>
        <v>491440.00000000023</v>
      </c>
      <c r="E2718" s="762">
        <v>191689.00000000026</v>
      </c>
      <c r="F2718">
        <v>40897</v>
      </c>
      <c r="G2718" s="589">
        <v>258854</v>
      </c>
    </row>
    <row r="2719" spans="3:7" x14ac:dyDescent="0.2">
      <c r="C2719" s="810" t="s">
        <v>322</v>
      </c>
      <c r="D2719" s="331">
        <f t="shared" si="38"/>
        <v>489375.34000000026</v>
      </c>
      <c r="E2719" s="762">
        <v>189624.34000000026</v>
      </c>
      <c r="F2719">
        <v>40897</v>
      </c>
      <c r="G2719" s="589">
        <v>258854</v>
      </c>
    </row>
    <row r="2720" spans="3:7" x14ac:dyDescent="0.2">
      <c r="C2720" s="810" t="s">
        <v>322</v>
      </c>
      <c r="D2720" s="331">
        <f t="shared" si="38"/>
        <v>483949.34000000026</v>
      </c>
      <c r="E2720" s="762">
        <v>184198.34000000026</v>
      </c>
      <c r="F2720">
        <v>40897</v>
      </c>
      <c r="G2720" s="589">
        <v>258854</v>
      </c>
    </row>
    <row r="2721" spans="3:7" x14ac:dyDescent="0.2">
      <c r="C2721" s="810" t="s">
        <v>322</v>
      </c>
      <c r="D2721" s="331">
        <f t="shared" si="38"/>
        <v>483593.28000000026</v>
      </c>
      <c r="E2721" s="762">
        <v>183842.28000000026</v>
      </c>
      <c r="F2721">
        <v>40897</v>
      </c>
      <c r="G2721" s="589">
        <v>258854</v>
      </c>
    </row>
    <row r="2722" spans="3:7" x14ac:dyDescent="0.2">
      <c r="C2722" s="810" t="s">
        <v>322</v>
      </c>
      <c r="D2722" s="331">
        <f t="shared" si="38"/>
        <v>483447.88000000024</v>
      </c>
      <c r="E2722" s="762">
        <v>183696.88000000027</v>
      </c>
      <c r="F2722">
        <v>40897</v>
      </c>
      <c r="G2722" s="589">
        <v>258854</v>
      </c>
    </row>
    <row r="2723" spans="3:7" x14ac:dyDescent="0.2">
      <c r="C2723" s="810" t="s">
        <v>322</v>
      </c>
      <c r="D2723" s="331">
        <f t="shared" si="38"/>
        <v>455216.94000000029</v>
      </c>
      <c r="E2723" s="762">
        <v>183482.94000000026</v>
      </c>
      <c r="F2723">
        <v>12880</v>
      </c>
      <c r="G2723" s="589">
        <v>258854</v>
      </c>
    </row>
    <row r="2724" spans="3:7" x14ac:dyDescent="0.2">
      <c r="C2724" s="810" t="s">
        <v>323</v>
      </c>
      <c r="D2724" s="331">
        <f t="shared" si="38"/>
        <v>447008.44000000029</v>
      </c>
      <c r="E2724" s="762">
        <v>183448.44000000026</v>
      </c>
      <c r="F2724">
        <v>4706</v>
      </c>
      <c r="G2724" s="589">
        <v>258854</v>
      </c>
    </row>
    <row r="2725" spans="3:7" x14ac:dyDescent="0.2">
      <c r="C2725" s="810" t="s">
        <v>324</v>
      </c>
      <c r="D2725" s="331">
        <f t="shared" si="38"/>
        <v>442785.67000000027</v>
      </c>
      <c r="E2725" s="762">
        <v>179225.67000000027</v>
      </c>
      <c r="F2725">
        <v>4706</v>
      </c>
      <c r="G2725" s="589">
        <v>258854</v>
      </c>
    </row>
    <row r="2726" spans="3:7" x14ac:dyDescent="0.2">
      <c r="C2726" s="810" t="s">
        <v>324</v>
      </c>
      <c r="D2726" s="331">
        <f t="shared" si="38"/>
        <v>447008.44000000029</v>
      </c>
      <c r="E2726" s="762">
        <v>183448.44000000026</v>
      </c>
      <c r="F2726">
        <v>4706</v>
      </c>
      <c r="G2726" s="589">
        <v>258854</v>
      </c>
    </row>
    <row r="2727" spans="3:7" x14ac:dyDescent="0.2">
      <c r="C2727" s="810" t="s">
        <v>325</v>
      </c>
      <c r="D2727" s="331">
        <f t="shared" si="38"/>
        <v>455032.44000000029</v>
      </c>
      <c r="E2727" s="762">
        <v>183298.44000000026</v>
      </c>
      <c r="F2727">
        <v>12880</v>
      </c>
      <c r="G2727" s="589">
        <v>258854</v>
      </c>
    </row>
    <row r="2728" spans="3:7" x14ac:dyDescent="0.2">
      <c r="C2728" s="810" t="s">
        <v>325</v>
      </c>
      <c r="D2728" s="331">
        <f t="shared" si="38"/>
        <v>452425.99000000022</v>
      </c>
      <c r="E2728" s="762">
        <v>180691.99000000025</v>
      </c>
      <c r="F2728">
        <v>12880</v>
      </c>
      <c r="G2728" s="589">
        <v>258854</v>
      </c>
    </row>
    <row r="2729" spans="3:7" x14ac:dyDescent="0.2">
      <c r="C2729" s="810" t="s">
        <v>325</v>
      </c>
      <c r="D2729" s="331">
        <f t="shared" si="38"/>
        <v>452200.73000000021</v>
      </c>
      <c r="E2729" s="762">
        <v>180466.73000000024</v>
      </c>
      <c r="F2729">
        <v>12880</v>
      </c>
      <c r="G2729" s="589">
        <v>258854</v>
      </c>
    </row>
    <row r="2730" spans="3:7" x14ac:dyDescent="0.2">
      <c r="C2730" s="810" t="s">
        <v>325</v>
      </c>
      <c r="D2730" s="331">
        <f t="shared" si="38"/>
        <v>452010.33000000025</v>
      </c>
      <c r="E2730" s="762">
        <v>180276.33000000025</v>
      </c>
      <c r="F2730">
        <v>12880</v>
      </c>
      <c r="G2730" s="589">
        <v>258854</v>
      </c>
    </row>
    <row r="2731" spans="3:7" x14ac:dyDescent="0.2">
      <c r="C2731" s="810" t="s">
        <v>325</v>
      </c>
      <c r="D2731" s="331">
        <f t="shared" si="38"/>
        <v>449945.67000000027</v>
      </c>
      <c r="E2731" s="762">
        <v>178211.67000000025</v>
      </c>
      <c r="F2731">
        <v>12880</v>
      </c>
      <c r="G2731" s="589">
        <v>258854</v>
      </c>
    </row>
    <row r="2732" spans="3:7" x14ac:dyDescent="0.2">
      <c r="C2732" s="810" t="s">
        <v>325</v>
      </c>
      <c r="D2732" s="331">
        <f t="shared" si="38"/>
        <v>446345.67000000027</v>
      </c>
      <c r="E2732" s="762">
        <v>174611.67000000025</v>
      </c>
      <c r="F2732">
        <v>12880</v>
      </c>
      <c r="G2732" s="589">
        <v>258854</v>
      </c>
    </row>
    <row r="2733" spans="3:7" x14ac:dyDescent="0.2">
      <c r="C2733" s="810" t="s">
        <v>325</v>
      </c>
      <c r="D2733" s="331">
        <f t="shared" si="38"/>
        <v>445732.06000000029</v>
      </c>
      <c r="E2733" s="762">
        <v>173998.06000000026</v>
      </c>
      <c r="F2733">
        <v>12880</v>
      </c>
      <c r="G2733" s="589">
        <v>258854</v>
      </c>
    </row>
    <row r="2734" spans="3:7" x14ac:dyDescent="0.2">
      <c r="C2734" s="810" t="s">
        <v>325</v>
      </c>
      <c r="D2734" s="331">
        <f t="shared" si="38"/>
        <v>405035.35000000027</v>
      </c>
      <c r="E2734" s="762">
        <v>133301.35000000027</v>
      </c>
      <c r="F2734">
        <v>12880</v>
      </c>
      <c r="G2734" s="589">
        <v>258854</v>
      </c>
    </row>
    <row r="2735" spans="3:7" x14ac:dyDescent="0.2">
      <c r="C2735" s="810" t="s">
        <v>326</v>
      </c>
      <c r="D2735" s="331">
        <f t="shared" si="38"/>
        <v>396861.35000000027</v>
      </c>
      <c r="E2735" s="762">
        <v>133301.35000000027</v>
      </c>
      <c r="F2735">
        <v>4706</v>
      </c>
      <c r="G2735" s="589">
        <v>258854</v>
      </c>
    </row>
    <row r="2736" spans="3:7" x14ac:dyDescent="0.2">
      <c r="C2736" s="810" t="s">
        <v>326</v>
      </c>
      <c r="D2736" s="331">
        <f t="shared" si="38"/>
        <v>394225.05000000028</v>
      </c>
      <c r="E2736" s="762">
        <v>133239.05000000028</v>
      </c>
      <c r="F2736">
        <v>2132</v>
      </c>
      <c r="G2736" s="589">
        <v>258854</v>
      </c>
    </row>
    <row r="2737" spans="3:7" x14ac:dyDescent="0.2">
      <c r="C2737" s="810" t="s">
        <v>326</v>
      </c>
      <c r="D2737" s="331">
        <f t="shared" si="38"/>
        <v>394155.75000000029</v>
      </c>
      <c r="E2737" s="762">
        <v>133169.75000000029</v>
      </c>
      <c r="F2737">
        <v>2132</v>
      </c>
      <c r="G2737" s="589">
        <v>258854</v>
      </c>
    </row>
    <row r="2738" spans="3:7" x14ac:dyDescent="0.2">
      <c r="C2738" s="810" t="s">
        <v>326</v>
      </c>
      <c r="D2738" s="331">
        <f t="shared" si="38"/>
        <v>410954.14000000031</v>
      </c>
      <c r="E2738" s="762">
        <v>149968.14000000031</v>
      </c>
      <c r="F2738">
        <v>2132</v>
      </c>
      <c r="G2738" s="589">
        <v>258854</v>
      </c>
    </row>
    <row r="2739" spans="3:7" x14ac:dyDescent="0.2">
      <c r="C2739" s="810" t="s">
        <v>326</v>
      </c>
      <c r="D2739" s="331">
        <f t="shared" si="38"/>
        <v>411004.14000000031</v>
      </c>
      <c r="E2739" s="762">
        <v>150018.14000000031</v>
      </c>
      <c r="F2739">
        <v>2132</v>
      </c>
      <c r="G2739" s="589">
        <v>258854</v>
      </c>
    </row>
    <row r="2740" spans="3:7" x14ac:dyDescent="0.2">
      <c r="C2740" s="810" t="s">
        <v>326</v>
      </c>
      <c r="D2740" s="331">
        <f t="shared" si="38"/>
        <v>411285.64000000031</v>
      </c>
      <c r="E2740" s="762">
        <v>150299.64000000031</v>
      </c>
      <c r="F2740">
        <v>2132</v>
      </c>
      <c r="G2740" s="589">
        <v>258854</v>
      </c>
    </row>
    <row r="2741" spans="3:7" x14ac:dyDescent="0.2">
      <c r="C2741" s="810" t="s">
        <v>326</v>
      </c>
      <c r="D2741" s="331">
        <f t="shared" si="38"/>
        <v>410492.64000000031</v>
      </c>
      <c r="E2741" s="762">
        <v>150484.64000000031</v>
      </c>
      <c r="F2741">
        <v>1154</v>
      </c>
      <c r="G2741" s="589">
        <v>258854</v>
      </c>
    </row>
    <row r="2742" spans="3:7" x14ac:dyDescent="0.2">
      <c r="C2742" s="810" t="s">
        <v>326</v>
      </c>
      <c r="D2742" s="331">
        <f t="shared" si="38"/>
        <v>410877.64000000031</v>
      </c>
      <c r="E2742" s="762">
        <v>150869.64000000031</v>
      </c>
      <c r="F2742">
        <v>1154</v>
      </c>
      <c r="G2742" s="589">
        <v>258854</v>
      </c>
    </row>
    <row r="2743" spans="3:7" x14ac:dyDescent="0.2">
      <c r="C2743" s="810" t="s">
        <v>326</v>
      </c>
      <c r="D2743" s="331">
        <f t="shared" si="38"/>
        <v>410877.64000000031</v>
      </c>
      <c r="E2743" s="762">
        <v>150869.64000000031</v>
      </c>
      <c r="F2743">
        <v>1154</v>
      </c>
      <c r="G2743" s="589">
        <v>258854</v>
      </c>
    </row>
    <row r="2744" spans="3:7" x14ac:dyDescent="0.2">
      <c r="C2744" s="810" t="s">
        <v>326</v>
      </c>
      <c r="D2744" s="331">
        <f t="shared" si="38"/>
        <v>410877.64000000031</v>
      </c>
      <c r="E2744" s="762">
        <v>150869.64000000031</v>
      </c>
      <c r="F2744">
        <v>1154</v>
      </c>
      <c r="G2744" s="589">
        <v>258854</v>
      </c>
    </row>
    <row r="2745" spans="3:7" x14ac:dyDescent="0.2">
      <c r="C2745" s="810" t="s">
        <v>326</v>
      </c>
      <c r="D2745" s="331">
        <f t="shared" si="38"/>
        <v>410877.64000000031</v>
      </c>
      <c r="E2745" s="762">
        <v>150869.64000000031</v>
      </c>
      <c r="F2745">
        <v>1154</v>
      </c>
      <c r="G2745" s="589">
        <v>258854</v>
      </c>
    </row>
    <row r="2746" spans="3:7" x14ac:dyDescent="0.2">
      <c r="C2746" s="810" t="s">
        <v>326</v>
      </c>
      <c r="D2746" s="331">
        <f t="shared" si="38"/>
        <v>410877.64000000031</v>
      </c>
      <c r="E2746" s="762">
        <v>150869.64000000031</v>
      </c>
      <c r="F2746">
        <v>1154</v>
      </c>
      <c r="G2746" s="589">
        <v>258854</v>
      </c>
    </row>
    <row r="2747" spans="3:7" x14ac:dyDescent="0.2">
      <c r="C2747" s="810" t="s">
        <v>326</v>
      </c>
      <c r="D2747" s="331">
        <f t="shared" si="38"/>
        <v>410537.68000000028</v>
      </c>
      <c r="E2747" s="762">
        <v>150529.68000000031</v>
      </c>
      <c r="F2747">
        <v>1154</v>
      </c>
      <c r="G2747" s="589">
        <v>258854</v>
      </c>
    </row>
    <row r="2748" spans="3:7" x14ac:dyDescent="0.2">
      <c r="C2748" s="810" t="s">
        <v>326</v>
      </c>
      <c r="D2748" s="331">
        <f t="shared" si="38"/>
        <v>407619.79000000027</v>
      </c>
      <c r="E2748" s="762">
        <v>147611.7900000003</v>
      </c>
      <c r="F2748">
        <v>1154</v>
      </c>
      <c r="G2748" s="589">
        <v>258854</v>
      </c>
    </row>
    <row r="2749" spans="3:7" x14ac:dyDescent="0.2">
      <c r="C2749" s="810" t="s">
        <v>327</v>
      </c>
      <c r="D2749" s="331">
        <f t="shared" si="38"/>
        <v>407543.8200000003</v>
      </c>
      <c r="E2749" s="762">
        <v>147535.8200000003</v>
      </c>
      <c r="F2749">
        <v>1154</v>
      </c>
      <c r="G2749" s="589">
        <v>258854</v>
      </c>
    </row>
    <row r="2750" spans="3:7" x14ac:dyDescent="0.2">
      <c r="C2750" s="810" t="s">
        <v>327</v>
      </c>
      <c r="D2750" s="331">
        <f t="shared" si="38"/>
        <v>401243.74000000034</v>
      </c>
      <c r="E2750" s="762">
        <v>142038.74000000031</v>
      </c>
      <c r="F2750">
        <v>351</v>
      </c>
      <c r="G2750" s="589">
        <v>258854</v>
      </c>
    </row>
    <row r="2751" spans="3:7" x14ac:dyDescent="0.2">
      <c r="C2751" s="810" t="s">
        <v>327</v>
      </c>
      <c r="D2751" s="331">
        <f t="shared" si="38"/>
        <v>401222.74000000034</v>
      </c>
      <c r="E2751" s="762">
        <v>142017.74000000031</v>
      </c>
      <c r="F2751">
        <v>351</v>
      </c>
      <c r="G2751" s="589">
        <v>258854</v>
      </c>
    </row>
    <row r="2752" spans="3:7" x14ac:dyDescent="0.2">
      <c r="C2752" s="810" t="s">
        <v>327</v>
      </c>
      <c r="D2752" s="331">
        <f t="shared" si="38"/>
        <v>401145.06000000029</v>
      </c>
      <c r="E2752" s="762">
        <v>141940.06000000032</v>
      </c>
      <c r="F2752">
        <v>351</v>
      </c>
      <c r="G2752" s="589">
        <v>258854</v>
      </c>
    </row>
    <row r="2753" spans="3:7" x14ac:dyDescent="0.2">
      <c r="C2753" s="810" t="s">
        <v>327</v>
      </c>
      <c r="D2753" s="331">
        <f t="shared" si="38"/>
        <v>401095.51000000036</v>
      </c>
      <c r="E2753" s="762">
        <v>141890.51000000033</v>
      </c>
      <c r="F2753">
        <v>351</v>
      </c>
      <c r="G2753" s="589">
        <v>258854</v>
      </c>
    </row>
    <row r="2754" spans="3:7" x14ac:dyDescent="0.2">
      <c r="C2754" s="810" t="s">
        <v>327</v>
      </c>
      <c r="D2754" s="331">
        <f t="shared" si="38"/>
        <v>400829.12000000034</v>
      </c>
      <c r="E2754" s="762">
        <v>141624.12000000032</v>
      </c>
      <c r="F2754">
        <v>351</v>
      </c>
      <c r="G2754" s="589">
        <v>258854</v>
      </c>
    </row>
    <row r="2755" spans="3:7" x14ac:dyDescent="0.2">
      <c r="C2755" s="810" t="s">
        <v>327</v>
      </c>
      <c r="D2755" s="331">
        <f t="shared" si="38"/>
        <v>400315.3200000003</v>
      </c>
      <c r="E2755" s="762">
        <v>141110.32000000033</v>
      </c>
      <c r="F2755">
        <v>351</v>
      </c>
      <c r="G2755" s="589">
        <v>258854</v>
      </c>
    </row>
    <row r="2756" spans="3:7" x14ac:dyDescent="0.2">
      <c r="C2756" s="810" t="s">
        <v>327</v>
      </c>
      <c r="D2756" s="331">
        <f t="shared" si="38"/>
        <v>400288.31000000029</v>
      </c>
      <c r="E2756" s="762">
        <v>141083.31000000032</v>
      </c>
      <c r="F2756">
        <v>351</v>
      </c>
      <c r="G2756" s="589">
        <v>258854</v>
      </c>
    </row>
    <row r="2757" spans="3:7" x14ac:dyDescent="0.2">
      <c r="C2757" s="810" t="s">
        <v>327</v>
      </c>
      <c r="D2757" s="331">
        <f t="shared" si="38"/>
        <v>394766.33000000031</v>
      </c>
      <c r="E2757" s="762">
        <v>135561.33000000031</v>
      </c>
      <c r="F2757">
        <v>351</v>
      </c>
      <c r="G2757" s="589">
        <v>258854</v>
      </c>
    </row>
    <row r="2758" spans="3:7" x14ac:dyDescent="0.2">
      <c r="C2758" s="810" t="s">
        <v>327</v>
      </c>
      <c r="D2758" s="331">
        <f t="shared" si="38"/>
        <v>394171.33000000031</v>
      </c>
      <c r="E2758" s="762">
        <v>134966.33000000031</v>
      </c>
      <c r="F2758">
        <v>351</v>
      </c>
      <c r="G2758" s="589">
        <v>258854</v>
      </c>
    </row>
    <row r="2759" spans="3:7" x14ac:dyDescent="0.2">
      <c r="C2759" s="810" t="s">
        <v>327</v>
      </c>
      <c r="D2759" s="331">
        <f t="shared" si="38"/>
        <v>393630.77000000031</v>
      </c>
      <c r="E2759" s="762">
        <v>134425.77000000031</v>
      </c>
      <c r="F2759">
        <v>351</v>
      </c>
      <c r="G2759" s="589">
        <v>258854</v>
      </c>
    </row>
    <row r="2760" spans="3:7" x14ac:dyDescent="0.2">
      <c r="C2760" s="810" t="s">
        <v>327</v>
      </c>
      <c r="D2760" s="331">
        <f t="shared" si="38"/>
        <v>393367.77000000031</v>
      </c>
      <c r="E2760" s="762">
        <v>134162.77000000031</v>
      </c>
      <c r="F2760">
        <v>351</v>
      </c>
      <c r="G2760" s="589">
        <v>258854</v>
      </c>
    </row>
    <row r="2761" spans="3:7" x14ac:dyDescent="0.2">
      <c r="C2761" s="810" t="s">
        <v>327</v>
      </c>
      <c r="D2761" s="331">
        <f t="shared" si="38"/>
        <v>393100.47000000032</v>
      </c>
      <c r="E2761" s="762">
        <v>133895.47000000032</v>
      </c>
      <c r="F2761">
        <v>351</v>
      </c>
      <c r="G2761" s="589">
        <v>258854</v>
      </c>
    </row>
    <row r="2762" spans="3:7" x14ac:dyDescent="0.2">
      <c r="C2762" s="810" t="s">
        <v>327</v>
      </c>
      <c r="D2762" s="331">
        <f t="shared" si="38"/>
        <v>392975.47000000032</v>
      </c>
      <c r="E2762" s="762">
        <v>133770.47000000032</v>
      </c>
      <c r="F2762">
        <v>351</v>
      </c>
      <c r="G2762" s="589">
        <v>258854</v>
      </c>
    </row>
    <row r="2763" spans="3:7" x14ac:dyDescent="0.2">
      <c r="C2763" s="810" t="s">
        <v>327</v>
      </c>
      <c r="D2763" s="331">
        <f t="shared" si="38"/>
        <v>392975.47000000032</v>
      </c>
      <c r="E2763" s="762">
        <v>133770.47000000032</v>
      </c>
      <c r="F2763">
        <v>351</v>
      </c>
      <c r="G2763" s="589">
        <v>258854</v>
      </c>
    </row>
    <row r="2764" spans="3:7" x14ac:dyDescent="0.2">
      <c r="C2764" s="810" t="s">
        <v>327</v>
      </c>
      <c r="D2764" s="331">
        <f t="shared" si="38"/>
        <v>392288.9500000003</v>
      </c>
      <c r="E2764" s="762">
        <v>133083.95000000033</v>
      </c>
      <c r="F2764">
        <v>351</v>
      </c>
      <c r="G2764" s="589">
        <v>258854</v>
      </c>
    </row>
    <row r="2765" spans="3:7" x14ac:dyDescent="0.2">
      <c r="C2765" s="810" t="s">
        <v>327</v>
      </c>
      <c r="D2765" s="331">
        <f t="shared" si="38"/>
        <v>418381.64000000036</v>
      </c>
      <c r="E2765" s="762">
        <v>159176.64000000033</v>
      </c>
      <c r="F2765">
        <v>351</v>
      </c>
      <c r="G2765" s="589">
        <v>258854</v>
      </c>
    </row>
    <row r="2766" spans="3:7" x14ac:dyDescent="0.2">
      <c r="C2766" s="810" t="s">
        <v>327</v>
      </c>
      <c r="D2766" s="331">
        <f t="shared" si="38"/>
        <v>418399.28000000038</v>
      </c>
      <c r="E2766" s="762">
        <v>159194.28000000035</v>
      </c>
      <c r="F2766">
        <v>351</v>
      </c>
      <c r="G2766" s="589">
        <v>258854</v>
      </c>
    </row>
    <row r="2767" spans="3:7" x14ac:dyDescent="0.2">
      <c r="C2767" s="810" t="s">
        <v>327</v>
      </c>
      <c r="D2767" s="331">
        <f t="shared" si="38"/>
        <v>433084.49000000034</v>
      </c>
      <c r="E2767" s="762">
        <v>173879.49000000034</v>
      </c>
      <c r="F2767">
        <v>351</v>
      </c>
      <c r="G2767" s="589">
        <v>258854</v>
      </c>
    </row>
    <row r="2768" spans="3:7" x14ac:dyDescent="0.2">
      <c r="C2768" s="810" t="s">
        <v>328</v>
      </c>
      <c r="D2768" s="331">
        <f t="shared" si="38"/>
        <v>432988.35000000033</v>
      </c>
      <c r="E2768" s="762">
        <v>173783.35000000033</v>
      </c>
      <c r="F2768">
        <v>351</v>
      </c>
      <c r="G2768" s="589">
        <v>258854</v>
      </c>
    </row>
    <row r="2769" spans="3:7" x14ac:dyDescent="0.2">
      <c r="C2769" s="810" t="s">
        <v>328</v>
      </c>
      <c r="D2769" s="331">
        <f t="shared" si="38"/>
        <v>432969.35000000033</v>
      </c>
      <c r="E2769" s="762">
        <v>173764.35000000033</v>
      </c>
      <c r="F2769">
        <v>351</v>
      </c>
      <c r="G2769" s="589">
        <v>258854</v>
      </c>
    </row>
    <row r="2770" spans="3:7" x14ac:dyDescent="0.2">
      <c r="C2770" s="810" t="s">
        <v>328</v>
      </c>
      <c r="D2770" s="331">
        <f t="shared" si="38"/>
        <v>432837.61000000034</v>
      </c>
      <c r="E2770" s="762">
        <v>173632.61000000034</v>
      </c>
      <c r="F2770">
        <v>351</v>
      </c>
      <c r="G2770" s="589">
        <v>258854</v>
      </c>
    </row>
    <row r="2771" spans="3:7" x14ac:dyDescent="0.2">
      <c r="C2771" s="810" t="s">
        <v>329</v>
      </c>
      <c r="D2771" s="331">
        <f t="shared" si="38"/>
        <v>429919.72000000032</v>
      </c>
      <c r="E2771" s="762">
        <v>170714.72000000032</v>
      </c>
      <c r="F2771">
        <v>351</v>
      </c>
      <c r="G2771" s="589">
        <v>258854</v>
      </c>
    </row>
    <row r="2772" spans="3:7" x14ac:dyDescent="0.2">
      <c r="C2772" s="810" t="s">
        <v>330</v>
      </c>
      <c r="D2772" s="331">
        <f t="shared" si="38"/>
        <v>388919.72000000032</v>
      </c>
      <c r="E2772" s="762">
        <v>129714.72000000032</v>
      </c>
      <c r="F2772">
        <v>351</v>
      </c>
      <c r="G2772" s="589">
        <v>258854</v>
      </c>
    </row>
    <row r="2773" spans="3:7" x14ac:dyDescent="0.2">
      <c r="C2773" s="810" t="s">
        <v>330</v>
      </c>
      <c r="D2773" s="331">
        <f t="shared" si="38"/>
        <v>428919.72000000032</v>
      </c>
      <c r="E2773" s="762">
        <v>128714.72000000032</v>
      </c>
      <c r="F2773">
        <v>41351</v>
      </c>
      <c r="G2773" s="589">
        <v>258854</v>
      </c>
    </row>
    <row r="2774" spans="3:7" x14ac:dyDescent="0.2">
      <c r="C2774" s="810" t="s">
        <v>331</v>
      </c>
      <c r="D2774" s="331">
        <f t="shared" ref="D2774:D2837" si="39">E2774+F2774+G2774</f>
        <v>428701.29000000033</v>
      </c>
      <c r="E2774" s="762">
        <v>128496.29000000033</v>
      </c>
      <c r="F2774">
        <v>41351</v>
      </c>
      <c r="G2774" s="589">
        <v>258854</v>
      </c>
    </row>
    <row r="2775" spans="3:7" x14ac:dyDescent="0.2">
      <c r="C2775" s="810" t="s">
        <v>331</v>
      </c>
      <c r="D2775" s="331">
        <f t="shared" si="39"/>
        <v>422817.46000000031</v>
      </c>
      <c r="E2775" s="762">
        <v>122612.46000000033</v>
      </c>
      <c r="F2775">
        <v>41351</v>
      </c>
      <c r="G2775" s="589">
        <v>258854</v>
      </c>
    </row>
    <row r="2776" spans="3:7" x14ac:dyDescent="0.2">
      <c r="C2776" s="810" t="s">
        <v>331</v>
      </c>
      <c r="D2776" s="331">
        <f t="shared" si="39"/>
        <v>422789.46000000031</v>
      </c>
      <c r="E2776" s="762">
        <v>122584.46000000033</v>
      </c>
      <c r="F2776">
        <v>41351</v>
      </c>
      <c r="G2776" s="589">
        <v>258854</v>
      </c>
    </row>
    <row r="2777" spans="3:7" x14ac:dyDescent="0.2">
      <c r="C2777" s="810" t="s">
        <v>331</v>
      </c>
      <c r="D2777" s="331">
        <f t="shared" si="39"/>
        <v>422397.54000000033</v>
      </c>
      <c r="E2777" s="762">
        <v>122192.54000000033</v>
      </c>
      <c r="F2777">
        <v>41351</v>
      </c>
      <c r="G2777" s="589">
        <v>258854</v>
      </c>
    </row>
    <row r="2778" spans="3:7" x14ac:dyDescent="0.2">
      <c r="C2778" s="810" t="s">
        <v>331</v>
      </c>
      <c r="D2778" s="331">
        <f t="shared" si="39"/>
        <v>420838.01000000036</v>
      </c>
      <c r="E2778" s="762">
        <v>120633.01000000033</v>
      </c>
      <c r="F2778">
        <v>41351</v>
      </c>
      <c r="G2778" s="589">
        <v>258854</v>
      </c>
    </row>
    <row r="2779" spans="3:7" x14ac:dyDescent="0.2">
      <c r="C2779" s="810" t="s">
        <v>332</v>
      </c>
      <c r="D2779" s="331">
        <f t="shared" si="39"/>
        <v>381522.05000000034</v>
      </c>
      <c r="E2779" s="762">
        <v>120293.05000000032</v>
      </c>
      <c r="F2779">
        <v>2375</v>
      </c>
      <c r="G2779" s="589">
        <v>258854</v>
      </c>
    </row>
    <row r="2780" spans="3:7" x14ac:dyDescent="0.2">
      <c r="C2780" s="810" t="s">
        <v>333</v>
      </c>
      <c r="D2780" s="331">
        <f t="shared" si="39"/>
        <v>381757.05000000034</v>
      </c>
      <c r="E2780" s="762">
        <v>120528.05000000032</v>
      </c>
      <c r="F2780">
        <v>2375</v>
      </c>
      <c r="G2780" s="589">
        <v>258854</v>
      </c>
    </row>
    <row r="2781" spans="3:7" x14ac:dyDescent="0.2">
      <c r="C2781" s="810" t="s">
        <v>333</v>
      </c>
      <c r="D2781" s="331">
        <f t="shared" si="39"/>
        <v>382257.05000000034</v>
      </c>
      <c r="E2781" s="762">
        <v>121028.05000000032</v>
      </c>
      <c r="F2781">
        <v>2375</v>
      </c>
      <c r="G2781" s="589">
        <v>258854</v>
      </c>
    </row>
    <row r="2782" spans="3:7" x14ac:dyDescent="0.2">
      <c r="C2782" s="810" t="s">
        <v>333</v>
      </c>
      <c r="D2782" s="331">
        <f t="shared" si="39"/>
        <v>382650.05000000034</v>
      </c>
      <c r="E2782" s="762">
        <v>121421.05000000032</v>
      </c>
      <c r="F2782">
        <v>2375</v>
      </c>
      <c r="G2782" s="589">
        <v>258854</v>
      </c>
    </row>
    <row r="2783" spans="3:7" x14ac:dyDescent="0.2">
      <c r="C2783" s="810" t="s">
        <v>333</v>
      </c>
      <c r="D2783" s="331">
        <f t="shared" si="39"/>
        <v>445147.27000000031</v>
      </c>
      <c r="E2783" s="762">
        <v>183918.27000000031</v>
      </c>
      <c r="F2783">
        <v>2375</v>
      </c>
      <c r="G2783" s="589">
        <v>258854</v>
      </c>
    </row>
    <row r="2784" spans="3:7" x14ac:dyDescent="0.2">
      <c r="C2784" s="810" t="s">
        <v>334</v>
      </c>
      <c r="D2784" s="331">
        <f t="shared" si="39"/>
        <v>444425.5700000003</v>
      </c>
      <c r="E2784" s="762">
        <v>183196.5700000003</v>
      </c>
      <c r="F2784">
        <v>2375</v>
      </c>
      <c r="G2784" s="589">
        <v>258854</v>
      </c>
    </row>
    <row r="2785" spans="3:7" x14ac:dyDescent="0.2">
      <c r="C2785" s="810" t="s">
        <v>334</v>
      </c>
      <c r="D2785" s="331">
        <f t="shared" si="39"/>
        <v>444304.47000000032</v>
      </c>
      <c r="E2785" s="762">
        <v>183075.47000000029</v>
      </c>
      <c r="F2785">
        <v>2375</v>
      </c>
      <c r="G2785" s="589">
        <v>258854</v>
      </c>
    </row>
    <row r="2786" spans="3:7" x14ac:dyDescent="0.2">
      <c r="C2786" s="810" t="s">
        <v>334</v>
      </c>
      <c r="D2786" s="331">
        <f t="shared" si="39"/>
        <v>444275.37000000029</v>
      </c>
      <c r="E2786" s="762">
        <v>183046.37000000029</v>
      </c>
      <c r="F2786">
        <v>2375</v>
      </c>
      <c r="G2786" s="589">
        <v>258854</v>
      </c>
    </row>
    <row r="2787" spans="3:7" x14ac:dyDescent="0.2">
      <c r="C2787" s="810" t="s">
        <v>334</v>
      </c>
      <c r="D2787" s="331">
        <f t="shared" si="39"/>
        <v>467727.92000000027</v>
      </c>
      <c r="E2787" s="762">
        <v>205773.92000000027</v>
      </c>
      <c r="F2787">
        <v>2375</v>
      </c>
      <c r="G2787" s="589">
        <v>259579</v>
      </c>
    </row>
    <row r="2788" spans="3:7" x14ac:dyDescent="0.2">
      <c r="C2788" s="810" t="s">
        <v>335</v>
      </c>
      <c r="D2788" s="331">
        <f t="shared" si="39"/>
        <v>505547.92000000027</v>
      </c>
      <c r="E2788" s="762">
        <v>205738.92000000027</v>
      </c>
      <c r="F2788">
        <v>40230</v>
      </c>
      <c r="G2788" s="589">
        <v>259579</v>
      </c>
    </row>
    <row r="2789" spans="3:7" x14ac:dyDescent="0.2">
      <c r="C2789" s="810" t="s">
        <v>335</v>
      </c>
      <c r="D2789" s="331">
        <f t="shared" si="39"/>
        <v>498151.71000000031</v>
      </c>
      <c r="E2789" s="762">
        <v>198342.71000000028</v>
      </c>
      <c r="F2789">
        <v>40230</v>
      </c>
      <c r="G2789" s="589">
        <v>259579</v>
      </c>
    </row>
    <row r="2790" spans="3:7" x14ac:dyDescent="0.2">
      <c r="C2790" s="810" t="s">
        <v>336</v>
      </c>
      <c r="D2790" s="331">
        <f t="shared" si="39"/>
        <v>457921.61000000028</v>
      </c>
      <c r="E2790" s="762">
        <v>158112.61000000028</v>
      </c>
      <c r="F2790">
        <v>40230</v>
      </c>
      <c r="G2790" s="589">
        <v>259579</v>
      </c>
    </row>
    <row r="2791" spans="3:7" x14ac:dyDescent="0.2">
      <c r="C2791" s="810" t="s">
        <v>337</v>
      </c>
      <c r="D2791" s="331">
        <f t="shared" si="39"/>
        <v>457871.21000000031</v>
      </c>
      <c r="E2791" s="762">
        <v>158062.21000000028</v>
      </c>
      <c r="F2791">
        <v>40230</v>
      </c>
      <c r="G2791" s="589">
        <v>259579</v>
      </c>
    </row>
    <row r="2792" spans="3:7" x14ac:dyDescent="0.2">
      <c r="C2792" s="810" t="s">
        <v>337</v>
      </c>
      <c r="D2792" s="331">
        <f t="shared" si="39"/>
        <v>457829.21000000031</v>
      </c>
      <c r="E2792" s="762">
        <v>158020.21000000028</v>
      </c>
      <c r="F2792">
        <v>40230</v>
      </c>
      <c r="G2792" s="589">
        <v>259579</v>
      </c>
    </row>
    <row r="2793" spans="3:7" x14ac:dyDescent="0.2">
      <c r="C2793" s="810" t="s">
        <v>337</v>
      </c>
      <c r="D2793" s="331">
        <f t="shared" si="39"/>
        <v>457679.21000000031</v>
      </c>
      <c r="E2793" s="762">
        <v>157870.21000000028</v>
      </c>
      <c r="F2793">
        <v>40230</v>
      </c>
      <c r="G2793" s="589">
        <v>259579</v>
      </c>
    </row>
    <row r="2794" spans="3:7" x14ac:dyDescent="0.2">
      <c r="C2794" s="810" t="s">
        <v>337</v>
      </c>
      <c r="D2794" s="331">
        <f t="shared" si="39"/>
        <v>457460.78000000026</v>
      </c>
      <c r="E2794" s="762">
        <v>157651.78000000029</v>
      </c>
      <c r="F2794">
        <v>40230</v>
      </c>
      <c r="G2794" s="589">
        <v>259579</v>
      </c>
    </row>
    <row r="2795" spans="3:7" x14ac:dyDescent="0.2">
      <c r="C2795" s="810" t="s">
        <v>337</v>
      </c>
      <c r="D2795" s="331">
        <f t="shared" si="39"/>
        <v>457437.68000000028</v>
      </c>
      <c r="E2795" s="762">
        <v>157628.68000000028</v>
      </c>
      <c r="F2795">
        <v>40230</v>
      </c>
      <c r="G2795" s="589">
        <v>259579</v>
      </c>
    </row>
    <row r="2796" spans="3:7" x14ac:dyDescent="0.2">
      <c r="C2796" s="810" t="s">
        <v>337</v>
      </c>
      <c r="D2796" s="331">
        <f t="shared" si="39"/>
        <v>454918.8800000003</v>
      </c>
      <c r="E2796" s="762">
        <v>155109.8800000003</v>
      </c>
      <c r="F2796">
        <v>40230</v>
      </c>
      <c r="G2796" s="589">
        <v>259579</v>
      </c>
    </row>
    <row r="2797" spans="3:7" x14ac:dyDescent="0.2">
      <c r="C2797" s="810" t="s">
        <v>337</v>
      </c>
      <c r="D2797" s="331">
        <f t="shared" si="39"/>
        <v>454722.2600000003</v>
      </c>
      <c r="E2797" s="762">
        <v>154913.2600000003</v>
      </c>
      <c r="F2797">
        <v>40230</v>
      </c>
      <c r="G2797" s="589">
        <v>259579</v>
      </c>
    </row>
    <row r="2798" spans="3:7" x14ac:dyDescent="0.2">
      <c r="C2798" s="810" t="s">
        <v>337</v>
      </c>
      <c r="D2798" s="331">
        <f t="shared" si="39"/>
        <v>454668.74000000034</v>
      </c>
      <c r="E2798" s="762">
        <v>154859.74000000031</v>
      </c>
      <c r="F2798">
        <v>40230</v>
      </c>
      <c r="G2798" s="589">
        <v>259579</v>
      </c>
    </row>
    <row r="2799" spans="3:7" x14ac:dyDescent="0.2">
      <c r="C2799" s="810" t="s">
        <v>337</v>
      </c>
      <c r="D2799" s="331">
        <f t="shared" si="39"/>
        <v>454578.74000000034</v>
      </c>
      <c r="E2799" s="762">
        <v>154769.74000000031</v>
      </c>
      <c r="F2799">
        <v>40230</v>
      </c>
      <c r="G2799" s="589">
        <v>259579</v>
      </c>
    </row>
    <row r="2800" spans="3:7" x14ac:dyDescent="0.2">
      <c r="C2800" s="810" t="s">
        <v>337</v>
      </c>
      <c r="D2800" s="331">
        <f t="shared" si="39"/>
        <v>453983.74000000034</v>
      </c>
      <c r="E2800" s="762">
        <v>154174.74000000031</v>
      </c>
      <c r="F2800">
        <v>40230</v>
      </c>
      <c r="G2800" s="589">
        <v>259579</v>
      </c>
    </row>
    <row r="2801" spans="3:7" x14ac:dyDescent="0.2">
      <c r="C2801" s="810" t="s">
        <v>337</v>
      </c>
      <c r="D2801" s="331">
        <f t="shared" si="39"/>
        <v>453916.74000000034</v>
      </c>
      <c r="E2801" s="762">
        <v>154107.74000000031</v>
      </c>
      <c r="F2801">
        <v>40230</v>
      </c>
      <c r="G2801" s="589">
        <v>259579</v>
      </c>
    </row>
    <row r="2802" spans="3:7" x14ac:dyDescent="0.2">
      <c r="C2802" s="810" t="s">
        <v>337</v>
      </c>
      <c r="D2802" s="331">
        <f t="shared" si="39"/>
        <v>453773.94000000029</v>
      </c>
      <c r="E2802" s="762">
        <v>153964.94000000032</v>
      </c>
      <c r="F2802">
        <v>40230</v>
      </c>
      <c r="G2802" s="589">
        <v>259579</v>
      </c>
    </row>
    <row r="2803" spans="3:7" x14ac:dyDescent="0.2">
      <c r="C2803" s="810" t="s">
        <v>337</v>
      </c>
      <c r="D2803" s="331">
        <f t="shared" si="39"/>
        <v>453567.34000000032</v>
      </c>
      <c r="E2803" s="762">
        <v>153758.34000000032</v>
      </c>
      <c r="F2803">
        <v>40230</v>
      </c>
      <c r="G2803" s="589">
        <v>259579</v>
      </c>
    </row>
    <row r="2804" spans="3:7" x14ac:dyDescent="0.2">
      <c r="C2804" s="810" t="s">
        <v>337</v>
      </c>
      <c r="D2804" s="331">
        <f t="shared" si="39"/>
        <v>453458.14000000031</v>
      </c>
      <c r="E2804" s="762">
        <v>153649.14000000031</v>
      </c>
      <c r="F2804">
        <v>40230</v>
      </c>
      <c r="G2804" s="589">
        <v>259579</v>
      </c>
    </row>
    <row r="2805" spans="3:7" x14ac:dyDescent="0.2">
      <c r="C2805" s="810" t="s">
        <v>337</v>
      </c>
      <c r="D2805" s="331">
        <f t="shared" si="39"/>
        <v>452844.53000000032</v>
      </c>
      <c r="E2805" s="762">
        <v>153035.53000000032</v>
      </c>
      <c r="F2805">
        <v>40230</v>
      </c>
      <c r="G2805" s="589">
        <v>259579</v>
      </c>
    </row>
    <row r="2806" spans="3:7" x14ac:dyDescent="0.2">
      <c r="C2806" s="810" t="s">
        <v>337</v>
      </c>
      <c r="D2806" s="331">
        <f t="shared" si="39"/>
        <v>452738.89000000031</v>
      </c>
      <c r="E2806" s="762">
        <v>152929.89000000031</v>
      </c>
      <c r="F2806">
        <v>40230</v>
      </c>
      <c r="G2806" s="589">
        <v>259579</v>
      </c>
    </row>
    <row r="2807" spans="3:7" x14ac:dyDescent="0.2">
      <c r="C2807" s="810" t="s">
        <v>337</v>
      </c>
      <c r="D2807" s="331">
        <f t="shared" si="39"/>
        <v>452718.89000000031</v>
      </c>
      <c r="E2807" s="762">
        <v>152909.89000000031</v>
      </c>
      <c r="F2807">
        <v>40230</v>
      </c>
      <c r="G2807" s="589">
        <v>259579</v>
      </c>
    </row>
    <row r="2808" spans="3:7" x14ac:dyDescent="0.2">
      <c r="C2808" s="810" t="s">
        <v>338</v>
      </c>
      <c r="D2808" s="331">
        <f t="shared" si="39"/>
        <v>416446.93000000028</v>
      </c>
      <c r="E2808" s="762">
        <v>152569.93000000031</v>
      </c>
      <c r="F2808">
        <v>4298</v>
      </c>
      <c r="G2808" s="589">
        <v>259579</v>
      </c>
    </row>
    <row r="2809" spans="3:7" x14ac:dyDescent="0.2">
      <c r="C2809" s="810" t="s">
        <v>338</v>
      </c>
      <c r="D2809" s="331">
        <f t="shared" si="39"/>
        <v>416412.43000000028</v>
      </c>
      <c r="E2809" s="762">
        <v>152535.43000000031</v>
      </c>
      <c r="F2809">
        <v>4298</v>
      </c>
      <c r="G2809" s="589">
        <v>259579</v>
      </c>
    </row>
    <row r="2810" spans="3:7" x14ac:dyDescent="0.2">
      <c r="C2810" s="810" t="s">
        <v>339</v>
      </c>
      <c r="D2810" s="331">
        <f t="shared" si="39"/>
        <v>415812.43000000028</v>
      </c>
      <c r="E2810" s="762">
        <v>151935.43000000031</v>
      </c>
      <c r="F2810">
        <v>4298</v>
      </c>
      <c r="G2810" s="589">
        <v>259579</v>
      </c>
    </row>
    <row r="2811" spans="3:7" x14ac:dyDescent="0.2">
      <c r="C2811" s="810" t="s">
        <v>340</v>
      </c>
      <c r="D2811" s="331">
        <f t="shared" si="39"/>
        <v>415644.43000000028</v>
      </c>
      <c r="E2811" s="762">
        <v>151767.43000000031</v>
      </c>
      <c r="F2811">
        <v>4298</v>
      </c>
      <c r="G2811" s="589">
        <v>259579</v>
      </c>
    </row>
    <row r="2812" spans="3:7" x14ac:dyDescent="0.2">
      <c r="C2812" s="810" t="s">
        <v>340</v>
      </c>
      <c r="D2812" s="331">
        <f t="shared" si="39"/>
        <v>415604.18000000028</v>
      </c>
      <c r="E2812" s="762">
        <v>151727.18000000031</v>
      </c>
      <c r="F2812">
        <v>4298</v>
      </c>
      <c r="G2812" s="589">
        <v>259579</v>
      </c>
    </row>
    <row r="2813" spans="3:7" x14ac:dyDescent="0.2">
      <c r="C2813" s="810" t="s">
        <v>340</v>
      </c>
      <c r="D2813" s="331">
        <f t="shared" si="39"/>
        <v>415090.38000000035</v>
      </c>
      <c r="E2813" s="762">
        <v>151213.38000000032</v>
      </c>
      <c r="F2813">
        <v>4298</v>
      </c>
      <c r="G2813" s="589">
        <v>259579</v>
      </c>
    </row>
    <row r="2814" spans="3:7" x14ac:dyDescent="0.2">
      <c r="C2814" s="810" t="s">
        <v>340</v>
      </c>
      <c r="D2814" s="331">
        <f t="shared" si="39"/>
        <v>414959.08000000031</v>
      </c>
      <c r="E2814" s="762">
        <v>151082.08000000034</v>
      </c>
      <c r="F2814">
        <v>4298</v>
      </c>
      <c r="G2814" s="589">
        <v>259579</v>
      </c>
    </row>
    <row r="2815" spans="3:7" x14ac:dyDescent="0.2">
      <c r="C2815" s="810" t="s">
        <v>341</v>
      </c>
      <c r="D2815" s="331">
        <f t="shared" si="39"/>
        <v>414974.06000000035</v>
      </c>
      <c r="E2815" s="762">
        <v>151097.06000000035</v>
      </c>
      <c r="F2815">
        <v>4298</v>
      </c>
      <c r="G2815" s="589">
        <v>259579</v>
      </c>
    </row>
    <row r="2816" spans="3:7" x14ac:dyDescent="0.2">
      <c r="C2816" s="810" t="s">
        <v>342</v>
      </c>
      <c r="D2816" s="331">
        <f t="shared" si="39"/>
        <v>376810.90000000037</v>
      </c>
      <c r="E2816" s="762">
        <v>112933.90000000034</v>
      </c>
      <c r="F2816">
        <v>4298</v>
      </c>
      <c r="G2816" s="589">
        <v>259579</v>
      </c>
    </row>
    <row r="2817" spans="3:7" x14ac:dyDescent="0.2">
      <c r="C2817" s="810" t="s">
        <v>343</v>
      </c>
      <c r="D2817" s="331">
        <f t="shared" si="39"/>
        <v>414751.51000000036</v>
      </c>
      <c r="E2817" s="762">
        <v>112711.51000000034</v>
      </c>
      <c r="F2817">
        <v>42461</v>
      </c>
      <c r="G2817" s="589">
        <v>259579</v>
      </c>
    </row>
    <row r="2818" spans="3:7" x14ac:dyDescent="0.2">
      <c r="C2818" s="810" t="s">
        <v>343</v>
      </c>
      <c r="D2818" s="331">
        <f t="shared" si="39"/>
        <v>414495.41000000032</v>
      </c>
      <c r="E2818" s="762">
        <v>112455.41000000034</v>
      </c>
      <c r="F2818">
        <v>42461</v>
      </c>
      <c r="G2818" s="589">
        <v>259579</v>
      </c>
    </row>
    <row r="2819" spans="3:7" x14ac:dyDescent="0.2">
      <c r="C2819" s="810" t="s">
        <v>343</v>
      </c>
      <c r="D2819" s="331">
        <f t="shared" si="39"/>
        <v>414276.98000000033</v>
      </c>
      <c r="E2819" s="762">
        <v>112236.98000000035</v>
      </c>
      <c r="F2819">
        <v>42461</v>
      </c>
      <c r="G2819" s="589">
        <v>259579</v>
      </c>
    </row>
    <row r="2820" spans="3:7" x14ac:dyDescent="0.2">
      <c r="C2820" s="810" t="s">
        <v>343</v>
      </c>
      <c r="D2820" s="331">
        <f t="shared" si="39"/>
        <v>413796.79000000033</v>
      </c>
      <c r="E2820" s="762">
        <v>111756.79000000034</v>
      </c>
      <c r="F2820">
        <v>42461</v>
      </c>
      <c r="G2820" s="589">
        <v>259579</v>
      </c>
    </row>
    <row r="2821" spans="3:7" x14ac:dyDescent="0.2">
      <c r="C2821" s="810" t="s">
        <v>343</v>
      </c>
      <c r="D2821" s="331">
        <f t="shared" si="39"/>
        <v>413671.79000000033</v>
      </c>
      <c r="E2821" s="762">
        <v>111631.79000000034</v>
      </c>
      <c r="F2821">
        <v>42461</v>
      </c>
      <c r="G2821" s="589">
        <v>259579</v>
      </c>
    </row>
    <row r="2822" spans="3:7" x14ac:dyDescent="0.2">
      <c r="C2822" s="810" t="s">
        <v>343</v>
      </c>
      <c r="D2822" s="331">
        <f t="shared" si="39"/>
        <v>413406.32000000036</v>
      </c>
      <c r="E2822" s="762">
        <v>111366.32000000034</v>
      </c>
      <c r="F2822">
        <v>42461</v>
      </c>
      <c r="G2822" s="589">
        <v>259579</v>
      </c>
    </row>
    <row r="2823" spans="3:7" x14ac:dyDescent="0.2">
      <c r="C2823" s="810" t="s">
        <v>343</v>
      </c>
      <c r="D2823" s="331">
        <f t="shared" si="39"/>
        <v>413168.21000000031</v>
      </c>
      <c r="E2823" s="762">
        <v>111128.21000000034</v>
      </c>
      <c r="F2823">
        <v>42461</v>
      </c>
      <c r="G2823" s="589">
        <v>259579</v>
      </c>
    </row>
    <row r="2824" spans="3:7" x14ac:dyDescent="0.2">
      <c r="C2824" s="810" t="s">
        <v>343</v>
      </c>
      <c r="D2824" s="331">
        <f t="shared" si="39"/>
        <v>412089.25000000035</v>
      </c>
      <c r="E2824" s="762">
        <v>110049.25000000033</v>
      </c>
      <c r="F2824">
        <v>42461</v>
      </c>
      <c r="G2824" s="589">
        <v>259579</v>
      </c>
    </row>
    <row r="2825" spans="3:7" x14ac:dyDescent="0.2">
      <c r="C2825" s="810" t="s">
        <v>343</v>
      </c>
      <c r="D2825" s="331">
        <f t="shared" si="39"/>
        <v>411998.15000000031</v>
      </c>
      <c r="E2825" s="762">
        <v>109958.15000000033</v>
      </c>
      <c r="F2825">
        <v>42461</v>
      </c>
      <c r="G2825" s="589">
        <v>259579</v>
      </c>
    </row>
    <row r="2826" spans="3:7" x14ac:dyDescent="0.2">
      <c r="C2826" s="810" t="s">
        <v>343</v>
      </c>
      <c r="D2826" s="331">
        <f t="shared" si="39"/>
        <v>411435.39000000036</v>
      </c>
      <c r="E2826" s="762">
        <v>109395.39000000033</v>
      </c>
      <c r="F2826">
        <v>42461</v>
      </c>
      <c r="G2826" s="589">
        <v>259579</v>
      </c>
    </row>
    <row r="2827" spans="3:7" x14ac:dyDescent="0.2">
      <c r="C2827" s="810" t="s">
        <v>343</v>
      </c>
      <c r="D2827" s="331">
        <f t="shared" si="39"/>
        <v>411754.39000000036</v>
      </c>
      <c r="E2827" s="762">
        <v>109714.39000000033</v>
      </c>
      <c r="F2827">
        <v>42461</v>
      </c>
      <c r="G2827" s="589">
        <v>259579</v>
      </c>
    </row>
    <row r="2828" spans="3:7" x14ac:dyDescent="0.2">
      <c r="C2828" s="810" t="s">
        <v>343</v>
      </c>
      <c r="D2828" s="331">
        <f t="shared" si="39"/>
        <v>412114.39000000036</v>
      </c>
      <c r="E2828" s="762">
        <v>110074.39000000033</v>
      </c>
      <c r="F2828">
        <v>42461</v>
      </c>
      <c r="G2828" s="589">
        <v>259579</v>
      </c>
    </row>
    <row r="2829" spans="3:7" x14ac:dyDescent="0.2">
      <c r="C2829" s="810" t="s">
        <v>343</v>
      </c>
      <c r="D2829" s="331">
        <f t="shared" si="39"/>
        <v>412139.39000000036</v>
      </c>
      <c r="E2829" s="762">
        <v>110099.39000000033</v>
      </c>
      <c r="F2829">
        <v>42461</v>
      </c>
      <c r="G2829" s="589">
        <v>259579</v>
      </c>
    </row>
    <row r="2830" spans="3:7" x14ac:dyDescent="0.2">
      <c r="C2830" s="810" t="s">
        <v>343</v>
      </c>
      <c r="D2830" s="331">
        <f t="shared" si="39"/>
        <v>412473.39000000036</v>
      </c>
      <c r="E2830" s="762">
        <v>110433.39000000033</v>
      </c>
      <c r="F2830">
        <v>42461</v>
      </c>
      <c r="G2830" s="589">
        <v>259579</v>
      </c>
    </row>
    <row r="2831" spans="3:7" x14ac:dyDescent="0.2">
      <c r="C2831" s="810" t="s">
        <v>343</v>
      </c>
      <c r="D2831" s="331">
        <f t="shared" si="39"/>
        <v>412756.39000000036</v>
      </c>
      <c r="E2831" s="762">
        <v>110716.39000000033</v>
      </c>
      <c r="F2831">
        <v>42461</v>
      </c>
      <c r="G2831" s="589">
        <v>259579</v>
      </c>
    </row>
    <row r="2832" spans="3:7" x14ac:dyDescent="0.2">
      <c r="C2832" s="810" t="s">
        <v>343</v>
      </c>
      <c r="D2832" s="331">
        <f t="shared" si="39"/>
        <v>420779.4500000003</v>
      </c>
      <c r="E2832" s="762">
        <v>118739.45000000033</v>
      </c>
      <c r="F2832">
        <v>42461</v>
      </c>
      <c r="G2832" s="589">
        <v>259579</v>
      </c>
    </row>
    <row r="2833" spans="3:7" x14ac:dyDescent="0.2">
      <c r="C2833" s="810" t="s">
        <v>344</v>
      </c>
      <c r="D2833" s="331">
        <f t="shared" si="39"/>
        <v>381244.38000000035</v>
      </c>
      <c r="E2833" s="762">
        <v>115821.56000000033</v>
      </c>
      <c r="F2833">
        <v>5843.82</v>
      </c>
      <c r="G2833" s="589">
        <v>259579</v>
      </c>
    </row>
    <row r="2834" spans="3:7" x14ac:dyDescent="0.2">
      <c r="C2834" s="810" t="s">
        <v>345</v>
      </c>
      <c r="D2834" s="331">
        <f t="shared" si="39"/>
        <v>379931.54000000033</v>
      </c>
      <c r="E2834" s="762">
        <v>115481.60000000033</v>
      </c>
      <c r="F2834">
        <v>4870.9399999999996</v>
      </c>
      <c r="G2834" s="589">
        <v>259579</v>
      </c>
    </row>
    <row r="2835" spans="3:7" x14ac:dyDescent="0.2">
      <c r="C2835" s="810" t="s">
        <v>346</v>
      </c>
      <c r="D2835" s="331">
        <f t="shared" si="39"/>
        <v>429931.54000000033</v>
      </c>
      <c r="E2835" s="762">
        <v>165481.60000000033</v>
      </c>
      <c r="F2835">
        <v>4870.9399999999996</v>
      </c>
      <c r="G2835" s="589">
        <v>259579</v>
      </c>
    </row>
    <row r="2836" spans="3:7" x14ac:dyDescent="0.2">
      <c r="C2836" s="810" t="s">
        <v>347</v>
      </c>
      <c r="D2836" s="331">
        <f t="shared" si="39"/>
        <v>429366.54000000033</v>
      </c>
      <c r="E2836" s="762">
        <v>164916.60000000033</v>
      </c>
      <c r="F2836">
        <v>4870.9399999999996</v>
      </c>
      <c r="G2836" s="589">
        <v>259579</v>
      </c>
    </row>
    <row r="2837" spans="3:7" x14ac:dyDescent="0.2">
      <c r="C2837" s="810" t="s">
        <v>347</v>
      </c>
      <c r="D2837" s="331">
        <f t="shared" si="39"/>
        <v>429337.44000000029</v>
      </c>
      <c r="E2837" s="762">
        <v>164887.50000000032</v>
      </c>
      <c r="F2837">
        <v>4870.9399999999996</v>
      </c>
      <c r="G2837" s="589">
        <v>259579</v>
      </c>
    </row>
    <row r="2838" spans="3:7" x14ac:dyDescent="0.2">
      <c r="C2838" s="810" t="s">
        <v>348</v>
      </c>
      <c r="D2838" s="331">
        <f t="shared" ref="D2838:D2859" si="40">E2838+F2838+G2838</f>
        <v>425367.64000000036</v>
      </c>
      <c r="E2838" s="762">
        <v>160917.70000000033</v>
      </c>
      <c r="F2838">
        <v>4870.9399999999996</v>
      </c>
      <c r="G2838" s="589">
        <v>259579</v>
      </c>
    </row>
    <row r="2839" spans="3:7" x14ac:dyDescent="0.2">
      <c r="C2839" s="810" t="s">
        <v>348</v>
      </c>
      <c r="D2839" s="331">
        <f t="shared" si="40"/>
        <v>429337.44000000029</v>
      </c>
      <c r="E2839" s="762">
        <v>164887.50000000032</v>
      </c>
      <c r="F2839">
        <v>4870.9399999999996</v>
      </c>
      <c r="G2839" s="589">
        <v>259579</v>
      </c>
    </row>
    <row r="2840" spans="3:7" x14ac:dyDescent="0.2">
      <c r="C2840" s="810" t="s">
        <v>348</v>
      </c>
      <c r="D2840" s="331">
        <f t="shared" si="40"/>
        <v>446210.33000000031</v>
      </c>
      <c r="E2840" s="762">
        <v>181760.39000000031</v>
      </c>
      <c r="F2840">
        <v>4870.9399999999996</v>
      </c>
      <c r="G2840" s="589">
        <v>259579</v>
      </c>
    </row>
    <row r="2841" spans="3:7" x14ac:dyDescent="0.2">
      <c r="C2841" s="810" t="s">
        <v>348</v>
      </c>
      <c r="D2841" s="331">
        <f t="shared" si="40"/>
        <v>446235.28000000032</v>
      </c>
      <c r="E2841" s="762">
        <v>181785.34000000032</v>
      </c>
      <c r="F2841">
        <v>4870.9399999999996</v>
      </c>
      <c r="G2841" s="589">
        <v>259579</v>
      </c>
    </row>
    <row r="2842" spans="3:7" x14ac:dyDescent="0.2">
      <c r="C2842" s="810" t="s">
        <v>349</v>
      </c>
      <c r="D2842" s="331">
        <f t="shared" si="40"/>
        <v>444170.62000000034</v>
      </c>
      <c r="E2842" s="762">
        <v>179720.68000000031</v>
      </c>
      <c r="F2842">
        <v>4870.9399999999996</v>
      </c>
      <c r="G2842" s="589">
        <v>259579</v>
      </c>
    </row>
    <row r="2843" spans="3:7" x14ac:dyDescent="0.2">
      <c r="C2843" s="810" t="s">
        <v>349</v>
      </c>
      <c r="D2843" s="331">
        <f t="shared" si="40"/>
        <v>444030.03000000032</v>
      </c>
      <c r="E2843" s="762">
        <v>179580.09000000032</v>
      </c>
      <c r="F2843">
        <v>4870.9399999999996</v>
      </c>
      <c r="G2843" s="589">
        <v>259579</v>
      </c>
    </row>
    <row r="2844" spans="3:7" x14ac:dyDescent="0.2">
      <c r="C2844" s="810" t="s">
        <v>349</v>
      </c>
      <c r="D2844" s="331">
        <f t="shared" si="40"/>
        <v>443270.48000000033</v>
      </c>
      <c r="E2844" s="762">
        <v>178820.54000000033</v>
      </c>
      <c r="F2844">
        <v>4870.9399999999996</v>
      </c>
      <c r="G2844" s="589">
        <v>259579</v>
      </c>
    </row>
    <row r="2845" spans="3:7" x14ac:dyDescent="0.2">
      <c r="C2845" s="810" t="s">
        <v>349</v>
      </c>
      <c r="D2845" s="331">
        <f t="shared" si="40"/>
        <v>443263.73000000033</v>
      </c>
      <c r="E2845" s="762">
        <v>178813.79000000033</v>
      </c>
      <c r="F2845">
        <v>4870.9399999999996</v>
      </c>
      <c r="G2845" s="589">
        <v>259579</v>
      </c>
    </row>
    <row r="2846" spans="3:7" x14ac:dyDescent="0.2">
      <c r="C2846" s="810" t="s">
        <v>349</v>
      </c>
      <c r="D2846" s="331">
        <f t="shared" si="40"/>
        <v>443230.13000000035</v>
      </c>
      <c r="E2846" s="762">
        <v>178780.19000000032</v>
      </c>
      <c r="F2846">
        <v>4870.9399999999996</v>
      </c>
      <c r="G2846" s="589">
        <v>259579</v>
      </c>
    </row>
    <row r="2847" spans="3:7" x14ac:dyDescent="0.2">
      <c r="C2847" s="810" t="s">
        <v>349</v>
      </c>
      <c r="D2847" s="331">
        <f t="shared" si="40"/>
        <v>442967.13000000035</v>
      </c>
      <c r="E2847" s="762">
        <v>178517.19000000032</v>
      </c>
      <c r="F2847">
        <v>4870.9399999999996</v>
      </c>
      <c r="G2847" s="589">
        <v>259579</v>
      </c>
    </row>
    <row r="2848" spans="3:7" x14ac:dyDescent="0.2">
      <c r="C2848" s="810" t="s">
        <v>349</v>
      </c>
      <c r="D2848" s="331">
        <f t="shared" si="40"/>
        <v>442937.93000000028</v>
      </c>
      <c r="E2848" s="762">
        <v>178487.99000000031</v>
      </c>
      <c r="F2848">
        <v>4870.9399999999996</v>
      </c>
      <c r="G2848" s="589">
        <v>259579</v>
      </c>
    </row>
    <row r="2849" spans="3:8" x14ac:dyDescent="0.2">
      <c r="C2849" s="810" t="s">
        <v>349</v>
      </c>
      <c r="D2849" s="331">
        <f t="shared" si="40"/>
        <v>442930.93000000028</v>
      </c>
      <c r="E2849" s="762">
        <v>178480.99000000031</v>
      </c>
      <c r="F2849">
        <v>4870.9399999999996</v>
      </c>
      <c r="G2849" s="589">
        <v>259579</v>
      </c>
    </row>
    <row r="2850" spans="3:8" x14ac:dyDescent="0.2">
      <c r="C2850" s="810" t="s">
        <v>349</v>
      </c>
      <c r="D2850" s="331">
        <f t="shared" si="40"/>
        <v>442539.0100000003</v>
      </c>
      <c r="E2850" s="762">
        <v>178089.0700000003</v>
      </c>
      <c r="F2850">
        <v>4870.9399999999996</v>
      </c>
      <c r="G2850" s="589">
        <v>259579</v>
      </c>
    </row>
    <row r="2851" spans="3:8" x14ac:dyDescent="0.2">
      <c r="C2851" s="810" t="s">
        <v>349</v>
      </c>
      <c r="D2851" s="331">
        <f t="shared" si="40"/>
        <v>432539.0100000003</v>
      </c>
      <c r="E2851" s="762">
        <v>168089.0700000003</v>
      </c>
      <c r="F2851">
        <v>4870.9399999999996</v>
      </c>
      <c r="G2851" s="589">
        <v>259579</v>
      </c>
    </row>
    <row r="2852" spans="3:8" x14ac:dyDescent="0.2">
      <c r="C2852" s="810" t="s">
        <v>349</v>
      </c>
      <c r="D2852" s="331">
        <f t="shared" si="40"/>
        <v>432485.49000000034</v>
      </c>
      <c r="E2852" s="762">
        <v>168035.55000000031</v>
      </c>
      <c r="F2852">
        <v>4870.9399999999996</v>
      </c>
      <c r="G2852" s="589">
        <v>259579</v>
      </c>
    </row>
    <row r="2853" spans="3:8" x14ac:dyDescent="0.2">
      <c r="C2853" s="810" t="s">
        <v>349</v>
      </c>
      <c r="D2853" s="331">
        <f t="shared" si="40"/>
        <v>431905.30000000028</v>
      </c>
      <c r="E2853" s="762">
        <v>167455.36000000031</v>
      </c>
      <c r="F2853">
        <v>4870.9399999999996</v>
      </c>
      <c r="G2853" s="589">
        <v>259579</v>
      </c>
    </row>
    <row r="2854" spans="3:8" x14ac:dyDescent="0.2">
      <c r="C2854" s="810" t="s">
        <v>349</v>
      </c>
      <c r="D2854" s="331">
        <f t="shared" si="40"/>
        <v>431853.12000000034</v>
      </c>
      <c r="E2854" s="762">
        <v>167403.18000000031</v>
      </c>
      <c r="F2854">
        <v>4870.9399999999996</v>
      </c>
      <c r="G2854" s="589">
        <v>259579</v>
      </c>
    </row>
    <row r="2855" spans="3:8" x14ac:dyDescent="0.2">
      <c r="C2855" s="810" t="s">
        <v>349</v>
      </c>
      <c r="D2855" s="331">
        <f t="shared" si="40"/>
        <v>431953.12000000034</v>
      </c>
      <c r="E2855" s="762">
        <v>167503.18000000031</v>
      </c>
      <c r="F2855">
        <v>4870.9399999999996</v>
      </c>
      <c r="G2855" s="589">
        <v>259579</v>
      </c>
    </row>
    <row r="2856" spans="3:8" x14ac:dyDescent="0.2">
      <c r="C2856" s="810" t="s">
        <v>349</v>
      </c>
      <c r="D2856" s="331">
        <f t="shared" si="40"/>
        <v>431837.84000000032</v>
      </c>
      <c r="E2856" s="762">
        <v>167387.90000000031</v>
      </c>
      <c r="F2856">
        <v>4870.9399999999996</v>
      </c>
      <c r="G2856" s="589">
        <v>259579</v>
      </c>
    </row>
    <row r="2857" spans="3:8" x14ac:dyDescent="0.2">
      <c r="C2857" s="810" t="s">
        <v>349</v>
      </c>
      <c r="D2857" s="331">
        <f t="shared" si="40"/>
        <v>424057.53000000032</v>
      </c>
      <c r="E2857" s="762">
        <v>159607.59000000032</v>
      </c>
      <c r="F2857">
        <v>4870.9399999999996</v>
      </c>
      <c r="G2857" s="589">
        <v>259579</v>
      </c>
    </row>
    <row r="2858" spans="3:8" x14ac:dyDescent="0.2">
      <c r="C2858" s="810" t="s">
        <v>349</v>
      </c>
      <c r="D2858" s="331">
        <f t="shared" si="40"/>
        <v>423979.85000000033</v>
      </c>
      <c r="E2858" s="762">
        <v>159529.91000000032</v>
      </c>
      <c r="F2858">
        <v>4870.9399999999996</v>
      </c>
      <c r="G2858" s="589">
        <v>259579</v>
      </c>
    </row>
    <row r="2859" spans="3:8" x14ac:dyDescent="0.2">
      <c r="C2859" s="810" t="s">
        <v>349</v>
      </c>
      <c r="D2859" s="331">
        <f t="shared" si="40"/>
        <v>424749.85000000033</v>
      </c>
      <c r="E2859" s="762">
        <v>160299.91000000032</v>
      </c>
      <c r="F2859">
        <v>4870.9399999999996</v>
      </c>
      <c r="G2859" s="589">
        <v>259579</v>
      </c>
    </row>
    <row r="2860" spans="3:8" x14ac:dyDescent="0.2">
      <c r="C2860" s="810" t="s">
        <v>349</v>
      </c>
      <c r="D2860" s="331">
        <f>E2860+F2860+G2860+H2860</f>
        <v>449949.85000000033</v>
      </c>
      <c r="E2860" s="762">
        <v>185299.91000000032</v>
      </c>
      <c r="F2860">
        <v>4870.9399999999996</v>
      </c>
      <c r="G2860" s="589">
        <v>259579</v>
      </c>
      <c r="H2860">
        <v>200</v>
      </c>
    </row>
    <row r="2861" spans="3:8" x14ac:dyDescent="0.2">
      <c r="C2861" s="810" t="s">
        <v>350</v>
      </c>
      <c r="D2861" s="331">
        <f>E2861+F2861+G2861+H2861</f>
        <v>470589.10000000033</v>
      </c>
      <c r="E2861" s="762">
        <v>170031.81000000032</v>
      </c>
      <c r="F2861">
        <v>40074.29</v>
      </c>
      <c r="G2861" s="589">
        <v>260283</v>
      </c>
      <c r="H2861">
        <v>200</v>
      </c>
    </row>
    <row r="2862" spans="3:8" x14ac:dyDescent="0.2">
      <c r="C2862" s="811">
        <v>45839</v>
      </c>
      <c r="D2862" s="331">
        <f t="shared" ref="D2862:D2925" si="41">E2862+F2862+G2862</f>
        <v>470389.57999999996</v>
      </c>
      <c r="E2862" s="782">
        <v>170031.81</v>
      </c>
      <c r="F2862" s="764">
        <v>40074</v>
      </c>
      <c r="G2862" s="589">
        <v>260283.77</v>
      </c>
    </row>
    <row r="2863" spans="3:8" x14ac:dyDescent="0.2">
      <c r="C2863" s="811">
        <v>45840</v>
      </c>
      <c r="D2863" s="331">
        <f t="shared" si="41"/>
        <v>466632.07999999996</v>
      </c>
      <c r="E2863" s="782">
        <v>166274.31</v>
      </c>
      <c r="F2863" s="764">
        <v>40074</v>
      </c>
      <c r="G2863" s="589">
        <v>260283.77</v>
      </c>
    </row>
    <row r="2864" spans="3:8" x14ac:dyDescent="0.2">
      <c r="C2864" s="811">
        <v>45840</v>
      </c>
      <c r="D2864" s="331">
        <f t="shared" si="41"/>
        <v>463707.07999999996</v>
      </c>
      <c r="E2864" s="782">
        <v>163349.31</v>
      </c>
      <c r="F2864" s="764">
        <v>40074</v>
      </c>
      <c r="G2864" s="589">
        <v>260283.77</v>
      </c>
    </row>
    <row r="2865" spans="3:7" x14ac:dyDescent="0.2">
      <c r="C2865" s="811">
        <v>45840</v>
      </c>
      <c r="D2865" s="331">
        <f t="shared" si="41"/>
        <v>463706.86</v>
      </c>
      <c r="E2865" s="782">
        <v>163349.09</v>
      </c>
      <c r="F2865" s="764">
        <v>40074</v>
      </c>
      <c r="G2865" s="589">
        <v>260283.77</v>
      </c>
    </row>
    <row r="2866" spans="3:7" x14ac:dyDescent="0.2">
      <c r="C2866" s="811">
        <v>45840</v>
      </c>
      <c r="D2866" s="331">
        <f t="shared" si="41"/>
        <v>463706.93</v>
      </c>
      <c r="E2866" s="782">
        <v>163349.16</v>
      </c>
      <c r="F2866" s="764">
        <v>40074</v>
      </c>
      <c r="G2866" s="589">
        <v>260283.77</v>
      </c>
    </row>
    <row r="2867" spans="3:7" x14ac:dyDescent="0.2">
      <c r="C2867" s="811">
        <v>45840</v>
      </c>
      <c r="D2867" s="331">
        <f t="shared" si="41"/>
        <v>463707.07999999996</v>
      </c>
      <c r="E2867" s="782">
        <v>163349.31</v>
      </c>
      <c r="F2867" s="764">
        <v>40074</v>
      </c>
      <c r="G2867" s="589">
        <v>260283.77</v>
      </c>
    </row>
    <row r="2868" spans="3:7" x14ac:dyDescent="0.2">
      <c r="C2868" s="811">
        <v>45840</v>
      </c>
      <c r="D2868" s="331">
        <f t="shared" si="41"/>
        <v>463672.07999999996</v>
      </c>
      <c r="E2868" s="782">
        <v>163314.31</v>
      </c>
      <c r="F2868" s="764">
        <v>40074</v>
      </c>
      <c r="G2868" s="589">
        <v>260283.77</v>
      </c>
    </row>
    <row r="2869" spans="3:7" x14ac:dyDescent="0.2">
      <c r="C2869" s="811">
        <v>45845</v>
      </c>
      <c r="D2869" s="331">
        <f t="shared" si="41"/>
        <v>424871.57999999996</v>
      </c>
      <c r="E2869" s="782">
        <v>163279.81</v>
      </c>
      <c r="F2869" s="764">
        <v>1308</v>
      </c>
      <c r="G2869" s="589">
        <v>260283.77</v>
      </c>
    </row>
    <row r="2870" spans="3:7" x14ac:dyDescent="0.2">
      <c r="C2870" s="811">
        <v>45846</v>
      </c>
      <c r="D2870" s="331">
        <f t="shared" si="41"/>
        <v>424531.62</v>
      </c>
      <c r="E2870" s="782">
        <v>162939.85</v>
      </c>
      <c r="F2870" s="764">
        <v>1308</v>
      </c>
      <c r="G2870" s="589">
        <v>260283.77</v>
      </c>
    </row>
    <row r="2871" spans="3:7" x14ac:dyDescent="0.2">
      <c r="C2871" s="811">
        <v>45848</v>
      </c>
      <c r="D2871" s="331">
        <f t="shared" si="41"/>
        <v>424907.62</v>
      </c>
      <c r="E2871" s="782">
        <v>163315.85</v>
      </c>
      <c r="F2871" s="764">
        <v>1308</v>
      </c>
      <c r="G2871" s="589">
        <v>260283.77</v>
      </c>
    </row>
    <row r="2872" spans="3:7" x14ac:dyDescent="0.2">
      <c r="C2872" s="811">
        <v>45848</v>
      </c>
      <c r="D2872" s="331">
        <f t="shared" si="41"/>
        <v>424878.92</v>
      </c>
      <c r="E2872" s="782">
        <v>163287.15</v>
      </c>
      <c r="F2872" s="764">
        <v>1308</v>
      </c>
      <c r="G2872" s="589">
        <v>260283.77</v>
      </c>
    </row>
    <row r="2873" spans="3:7" x14ac:dyDescent="0.2">
      <c r="C2873" s="811">
        <v>45848</v>
      </c>
      <c r="D2873" s="331">
        <f t="shared" si="41"/>
        <v>424660.49</v>
      </c>
      <c r="E2873" s="782">
        <v>163068.72</v>
      </c>
      <c r="F2873" s="764">
        <v>1308</v>
      </c>
      <c r="G2873" s="589">
        <v>260283.77</v>
      </c>
    </row>
    <row r="2874" spans="3:7" x14ac:dyDescent="0.2">
      <c r="C2874" s="811">
        <v>45848</v>
      </c>
      <c r="D2874" s="331">
        <f t="shared" si="41"/>
        <v>422595.82999999996</v>
      </c>
      <c r="E2874" s="782">
        <v>161004.06</v>
      </c>
      <c r="F2874" s="764">
        <v>1308</v>
      </c>
      <c r="G2874" s="589">
        <v>260283.77</v>
      </c>
    </row>
    <row r="2875" spans="3:7" x14ac:dyDescent="0.2">
      <c r="C2875" s="811">
        <v>45848</v>
      </c>
      <c r="D2875" s="331">
        <f t="shared" si="41"/>
        <v>421617.74</v>
      </c>
      <c r="E2875" s="782">
        <v>160025.97</v>
      </c>
      <c r="F2875" s="764">
        <v>1308</v>
      </c>
      <c r="G2875" s="589">
        <v>260283.77</v>
      </c>
    </row>
    <row r="2876" spans="3:7" x14ac:dyDescent="0.2">
      <c r="C2876" s="811">
        <v>45848</v>
      </c>
      <c r="D2876" s="331">
        <f t="shared" si="41"/>
        <v>420844.98</v>
      </c>
      <c r="E2876" s="782">
        <v>159253.21</v>
      </c>
      <c r="F2876" s="764">
        <v>1308</v>
      </c>
      <c r="G2876" s="589">
        <v>260283.77</v>
      </c>
    </row>
    <row r="2877" spans="3:7" x14ac:dyDescent="0.2">
      <c r="C2877" s="811">
        <v>45848</v>
      </c>
      <c r="D2877" s="331">
        <f t="shared" si="41"/>
        <v>420581.98</v>
      </c>
      <c r="E2877" s="782">
        <v>158990.21</v>
      </c>
      <c r="F2877" s="764">
        <v>1308</v>
      </c>
      <c r="G2877" s="589">
        <v>260283.77</v>
      </c>
    </row>
    <row r="2878" spans="3:7" x14ac:dyDescent="0.2">
      <c r="C2878" s="811">
        <v>45848</v>
      </c>
      <c r="D2878" s="331">
        <f t="shared" si="41"/>
        <v>420421.98</v>
      </c>
      <c r="E2878" s="782">
        <v>158830.21</v>
      </c>
      <c r="F2878" s="764">
        <v>1308</v>
      </c>
      <c r="G2878" s="589">
        <v>260283.77</v>
      </c>
    </row>
    <row r="2879" spans="3:7" x14ac:dyDescent="0.2">
      <c r="C2879" s="811">
        <v>45848</v>
      </c>
      <c r="D2879" s="331">
        <f t="shared" si="41"/>
        <v>420271.98</v>
      </c>
      <c r="E2879" s="782">
        <v>158680.21</v>
      </c>
      <c r="F2879" s="764">
        <v>1308</v>
      </c>
      <c r="G2879" s="589">
        <v>260283.77</v>
      </c>
    </row>
    <row r="2880" spans="3:7" x14ac:dyDescent="0.2">
      <c r="C2880" s="811">
        <v>45848</v>
      </c>
      <c r="D2880" s="331">
        <f t="shared" si="41"/>
        <v>416229.67</v>
      </c>
      <c r="E2880" s="782">
        <v>154637.9</v>
      </c>
      <c r="F2880" s="764">
        <v>1308</v>
      </c>
      <c r="G2880" s="589">
        <v>260283.77</v>
      </c>
    </row>
    <row r="2881" spans="3:7" x14ac:dyDescent="0.2">
      <c r="C2881" s="811">
        <v>45848</v>
      </c>
      <c r="D2881" s="331">
        <f t="shared" si="41"/>
        <v>416132.06999999995</v>
      </c>
      <c r="E2881" s="782">
        <v>154540.29999999999</v>
      </c>
      <c r="F2881" s="764">
        <v>1308</v>
      </c>
      <c r="G2881" s="589">
        <v>260283.77</v>
      </c>
    </row>
    <row r="2882" spans="3:7" x14ac:dyDescent="0.2">
      <c r="C2882" s="811">
        <v>45848</v>
      </c>
      <c r="D2882" s="331">
        <f t="shared" si="41"/>
        <v>416099.28</v>
      </c>
      <c r="E2882" s="782">
        <v>154507.51</v>
      </c>
      <c r="F2882" s="764">
        <v>1308</v>
      </c>
      <c r="G2882" s="589">
        <v>260283.77</v>
      </c>
    </row>
    <row r="2883" spans="3:7" x14ac:dyDescent="0.2">
      <c r="C2883" s="811">
        <v>45848</v>
      </c>
      <c r="D2883" s="331">
        <f t="shared" si="41"/>
        <v>415835.11</v>
      </c>
      <c r="E2883" s="782">
        <v>154243.34</v>
      </c>
      <c r="F2883" s="764">
        <v>1308</v>
      </c>
      <c r="G2883" s="589">
        <v>260283.77</v>
      </c>
    </row>
    <row r="2884" spans="3:7" x14ac:dyDescent="0.2">
      <c r="C2884" s="811">
        <v>45848</v>
      </c>
      <c r="D2884" s="331">
        <f t="shared" si="41"/>
        <v>415635.11</v>
      </c>
      <c r="E2884" s="782">
        <v>154043.34</v>
      </c>
      <c r="F2884" s="764">
        <v>1308</v>
      </c>
      <c r="G2884" s="589">
        <v>260283.77</v>
      </c>
    </row>
    <row r="2885" spans="3:7" x14ac:dyDescent="0.2">
      <c r="C2885" s="811">
        <v>45848</v>
      </c>
      <c r="D2885" s="331">
        <f t="shared" si="41"/>
        <v>415389.86</v>
      </c>
      <c r="E2885" s="782">
        <v>153798.09</v>
      </c>
      <c r="F2885" s="764">
        <v>1308</v>
      </c>
      <c r="G2885" s="589">
        <v>260283.77</v>
      </c>
    </row>
    <row r="2886" spans="3:7" x14ac:dyDescent="0.2">
      <c r="C2886" s="811">
        <v>45848</v>
      </c>
      <c r="D2886" s="331">
        <f t="shared" si="41"/>
        <v>415282.01</v>
      </c>
      <c r="E2886" s="782">
        <v>153690.23999999999</v>
      </c>
      <c r="F2886" s="764">
        <v>1308</v>
      </c>
      <c r="G2886" s="589">
        <v>260283.77</v>
      </c>
    </row>
    <row r="2887" spans="3:7" x14ac:dyDescent="0.2">
      <c r="C2887" s="811">
        <v>45848</v>
      </c>
      <c r="D2887" s="331">
        <f t="shared" si="41"/>
        <v>414668.14</v>
      </c>
      <c r="E2887" s="782">
        <v>153076.37</v>
      </c>
      <c r="F2887" s="764">
        <v>1308</v>
      </c>
      <c r="G2887" s="589">
        <v>260283.77</v>
      </c>
    </row>
    <row r="2888" spans="3:7" x14ac:dyDescent="0.2">
      <c r="C2888" s="811">
        <v>45848</v>
      </c>
      <c r="D2888" s="331">
        <f t="shared" si="41"/>
        <v>414394.44</v>
      </c>
      <c r="E2888" s="782">
        <v>152802.67000000001</v>
      </c>
      <c r="F2888" s="764">
        <v>1308</v>
      </c>
      <c r="G2888" s="589">
        <v>260283.77</v>
      </c>
    </row>
    <row r="2889" spans="3:7" x14ac:dyDescent="0.2">
      <c r="C2889" s="811">
        <v>45848</v>
      </c>
      <c r="D2889" s="331">
        <f t="shared" si="41"/>
        <v>413784.44</v>
      </c>
      <c r="E2889" s="782">
        <v>152192.67000000001</v>
      </c>
      <c r="F2889" s="764">
        <v>1308</v>
      </c>
      <c r="G2889" s="589">
        <v>260283.77</v>
      </c>
    </row>
    <row r="2890" spans="3:7" x14ac:dyDescent="0.2">
      <c r="C2890" s="811">
        <v>45853</v>
      </c>
      <c r="D2890" s="331">
        <f t="shared" si="41"/>
        <v>451996.07999999996</v>
      </c>
      <c r="E2890" s="782">
        <v>152208.39000000001</v>
      </c>
      <c r="F2890" s="764">
        <v>39503.919999999998</v>
      </c>
      <c r="G2890" s="589">
        <v>260283.77</v>
      </c>
    </row>
    <row r="2891" spans="3:7" x14ac:dyDescent="0.2">
      <c r="C2891" s="811">
        <v>45853</v>
      </c>
      <c r="D2891" s="331">
        <f t="shared" si="41"/>
        <v>413801.61</v>
      </c>
      <c r="E2891" s="782">
        <v>114013.92</v>
      </c>
      <c r="F2891" s="764">
        <v>39503.919999999998</v>
      </c>
      <c r="G2891" s="589">
        <v>260283.77</v>
      </c>
    </row>
    <row r="2892" spans="3:7" x14ac:dyDescent="0.2">
      <c r="C2892" s="811">
        <v>45856</v>
      </c>
      <c r="D2892" s="331">
        <f t="shared" si="41"/>
        <v>375879.52</v>
      </c>
      <c r="E2892" s="782">
        <v>113819.83</v>
      </c>
      <c r="F2892" s="764">
        <v>1775.92</v>
      </c>
      <c r="G2892" s="589">
        <v>260283.77</v>
      </c>
    </row>
    <row r="2893" spans="3:7" x14ac:dyDescent="0.2">
      <c r="C2893" s="811">
        <v>45856</v>
      </c>
      <c r="D2893" s="331">
        <f t="shared" si="41"/>
        <v>370049.44</v>
      </c>
      <c r="E2893" s="782">
        <v>107989.75</v>
      </c>
      <c r="F2893" s="764">
        <v>1775.92</v>
      </c>
      <c r="G2893" s="589">
        <v>260283.77</v>
      </c>
    </row>
    <row r="2894" spans="3:7" x14ac:dyDescent="0.2">
      <c r="C2894" s="811">
        <v>45856</v>
      </c>
      <c r="D2894" s="331">
        <f t="shared" si="41"/>
        <v>369451.61</v>
      </c>
      <c r="E2894" s="782">
        <v>107391.92</v>
      </c>
      <c r="F2894" s="764">
        <v>1775.92</v>
      </c>
      <c r="G2894" s="589">
        <v>260283.77</v>
      </c>
    </row>
    <row r="2895" spans="3:7" x14ac:dyDescent="0.2">
      <c r="C2895" s="811">
        <v>45856</v>
      </c>
      <c r="D2895" s="331">
        <f t="shared" si="41"/>
        <v>369326.61</v>
      </c>
      <c r="E2895" s="782">
        <v>107266.92</v>
      </c>
      <c r="F2895" s="764">
        <v>1775.92</v>
      </c>
      <c r="G2895" s="589">
        <v>260283.77</v>
      </c>
    </row>
    <row r="2896" spans="3:7" x14ac:dyDescent="0.2">
      <c r="C2896" s="811">
        <v>45856</v>
      </c>
      <c r="D2896" s="331">
        <f t="shared" si="41"/>
        <v>368190.56</v>
      </c>
      <c r="E2896" s="782">
        <v>106130.87</v>
      </c>
      <c r="F2896" s="764">
        <v>1775.92</v>
      </c>
      <c r="G2896" s="589">
        <v>260283.77</v>
      </c>
    </row>
    <row r="2897" spans="3:7" x14ac:dyDescent="0.2">
      <c r="C2897" s="811">
        <v>45856</v>
      </c>
      <c r="D2897" s="331">
        <f t="shared" si="41"/>
        <v>368056.35</v>
      </c>
      <c r="E2897" s="782">
        <v>105996.66</v>
      </c>
      <c r="F2897" s="764">
        <v>1775.92</v>
      </c>
      <c r="G2897" s="589">
        <v>260283.77</v>
      </c>
    </row>
    <row r="2898" spans="3:7" x14ac:dyDescent="0.2">
      <c r="C2898" s="811">
        <v>45856</v>
      </c>
      <c r="D2898" s="331">
        <f t="shared" si="41"/>
        <v>368039.85</v>
      </c>
      <c r="E2898" s="782">
        <v>105980.16</v>
      </c>
      <c r="F2898" s="764">
        <v>1775.92</v>
      </c>
      <c r="G2898" s="589">
        <v>260283.77</v>
      </c>
    </row>
    <row r="2899" spans="3:7" x14ac:dyDescent="0.2">
      <c r="C2899" s="811">
        <v>45856</v>
      </c>
      <c r="D2899" s="331">
        <f t="shared" si="41"/>
        <v>364039.85</v>
      </c>
      <c r="E2899" s="782">
        <v>101980.16</v>
      </c>
      <c r="F2899" s="764">
        <v>1775.92</v>
      </c>
      <c r="G2899" s="589">
        <v>260283.77</v>
      </c>
    </row>
    <row r="2900" spans="3:7" x14ac:dyDescent="0.2">
      <c r="C2900" s="811">
        <v>45856</v>
      </c>
      <c r="D2900" s="331">
        <f t="shared" si="41"/>
        <v>363890.69999999995</v>
      </c>
      <c r="E2900" s="782">
        <v>101831.01</v>
      </c>
      <c r="F2900" s="764">
        <v>1775.92</v>
      </c>
      <c r="G2900" s="589">
        <v>260283.77</v>
      </c>
    </row>
    <row r="2901" spans="3:7" x14ac:dyDescent="0.2">
      <c r="C2901" s="811">
        <v>45856</v>
      </c>
      <c r="D2901" s="331">
        <f t="shared" si="41"/>
        <v>362890.69999999995</v>
      </c>
      <c r="E2901" s="782">
        <v>100831.01</v>
      </c>
      <c r="F2901" s="764">
        <v>1775.92</v>
      </c>
      <c r="G2901" s="589">
        <v>260283.77</v>
      </c>
    </row>
    <row r="2902" spans="3:7" x14ac:dyDescent="0.2">
      <c r="C2902" s="811">
        <v>45856</v>
      </c>
      <c r="D2902" s="331">
        <f t="shared" si="41"/>
        <v>361486.26</v>
      </c>
      <c r="E2902" s="782">
        <v>99426.57</v>
      </c>
      <c r="F2902" s="764">
        <v>1775.92</v>
      </c>
      <c r="G2902" s="589">
        <v>260283.77</v>
      </c>
    </row>
    <row r="2903" spans="3:7" x14ac:dyDescent="0.2">
      <c r="C2903" s="811">
        <v>45856</v>
      </c>
      <c r="D2903" s="331">
        <f t="shared" si="41"/>
        <v>360972.45999999996</v>
      </c>
      <c r="E2903" s="782">
        <v>98912.77</v>
      </c>
      <c r="F2903" s="764">
        <v>1775.92</v>
      </c>
      <c r="G2903" s="589">
        <v>260283.77</v>
      </c>
    </row>
    <row r="2904" spans="3:7" x14ac:dyDescent="0.2">
      <c r="C2904" s="811">
        <v>45856</v>
      </c>
      <c r="D2904" s="331">
        <f t="shared" si="41"/>
        <v>360376.55</v>
      </c>
      <c r="E2904" s="782">
        <v>98316.86</v>
      </c>
      <c r="F2904" s="764">
        <v>1775.92</v>
      </c>
      <c r="G2904" s="589">
        <v>260283.77</v>
      </c>
    </row>
    <row r="2905" spans="3:7" x14ac:dyDescent="0.2">
      <c r="C2905" s="811">
        <v>45856</v>
      </c>
      <c r="D2905" s="331">
        <f t="shared" si="41"/>
        <v>360358.55</v>
      </c>
      <c r="E2905" s="782">
        <v>98298.86</v>
      </c>
      <c r="F2905" s="764">
        <v>1775.92</v>
      </c>
      <c r="G2905" s="589">
        <v>260283.77</v>
      </c>
    </row>
    <row r="2906" spans="3:7" x14ac:dyDescent="0.2">
      <c r="C2906" s="811">
        <v>45856</v>
      </c>
      <c r="D2906" s="331">
        <f t="shared" si="41"/>
        <v>360140.12</v>
      </c>
      <c r="E2906" s="782">
        <v>98080.43</v>
      </c>
      <c r="F2906" s="764">
        <v>1775.92</v>
      </c>
      <c r="G2906" s="589">
        <v>260283.77</v>
      </c>
    </row>
    <row r="2907" spans="3:7" x14ac:dyDescent="0.2">
      <c r="C2907" s="811">
        <v>45856</v>
      </c>
      <c r="D2907" s="331">
        <f t="shared" si="41"/>
        <v>360122.12</v>
      </c>
      <c r="E2907" s="782">
        <v>98062.43</v>
      </c>
      <c r="F2907" s="764">
        <v>1775.92</v>
      </c>
      <c r="G2907" s="589">
        <v>260283.77</v>
      </c>
    </row>
    <row r="2908" spans="3:7" x14ac:dyDescent="0.2">
      <c r="C2908" s="811">
        <v>45856</v>
      </c>
      <c r="D2908" s="331">
        <f t="shared" si="41"/>
        <v>359917.33999999997</v>
      </c>
      <c r="E2908" s="782">
        <v>97857.65</v>
      </c>
      <c r="F2908" s="764">
        <v>1775.92</v>
      </c>
      <c r="G2908" s="589">
        <v>260283.77</v>
      </c>
    </row>
    <row r="2909" spans="3:7" x14ac:dyDescent="0.2">
      <c r="C2909" s="811">
        <v>45859</v>
      </c>
      <c r="D2909" s="331">
        <f t="shared" si="41"/>
        <v>358001.45999999996</v>
      </c>
      <c r="E2909" s="782">
        <v>97517.69</v>
      </c>
      <c r="F2909" s="764">
        <v>200</v>
      </c>
      <c r="G2909" s="589">
        <v>260283.77</v>
      </c>
    </row>
    <row r="2910" spans="3:7" x14ac:dyDescent="0.2">
      <c r="C2910" s="811">
        <v>45859</v>
      </c>
      <c r="D2910" s="331">
        <f t="shared" si="41"/>
        <v>355080.42</v>
      </c>
      <c r="E2910" s="782">
        <v>94596.65</v>
      </c>
      <c r="F2910" s="764">
        <v>200</v>
      </c>
      <c r="G2910" s="589">
        <v>260283.77</v>
      </c>
    </row>
    <row r="2911" spans="3:7" x14ac:dyDescent="0.2">
      <c r="C2911" s="811">
        <v>45861</v>
      </c>
      <c r="D2911" s="331">
        <f t="shared" si="41"/>
        <v>355325.42</v>
      </c>
      <c r="E2911" s="782">
        <v>94841.65</v>
      </c>
      <c r="F2911" s="764">
        <v>200</v>
      </c>
      <c r="G2911" s="589">
        <v>260283.77</v>
      </c>
    </row>
    <row r="2912" spans="3:7" x14ac:dyDescent="0.2">
      <c r="C2912" s="811">
        <v>45861</v>
      </c>
      <c r="D2912" s="331">
        <f t="shared" si="41"/>
        <v>355645.42</v>
      </c>
      <c r="E2912" s="782">
        <v>95161.65</v>
      </c>
      <c r="F2912" s="764">
        <v>200</v>
      </c>
      <c r="G2912" s="589">
        <v>260283.77</v>
      </c>
    </row>
    <row r="2913" spans="3:7" x14ac:dyDescent="0.2">
      <c r="C2913" s="811">
        <v>45861</v>
      </c>
      <c r="D2913" s="331">
        <f t="shared" si="41"/>
        <v>355710.42</v>
      </c>
      <c r="E2913" s="782">
        <v>95226.65</v>
      </c>
      <c r="F2913" s="764">
        <v>200</v>
      </c>
      <c r="G2913" s="589">
        <v>260283.77</v>
      </c>
    </row>
    <row r="2914" spans="3:7" x14ac:dyDescent="0.2">
      <c r="C2914" s="811">
        <v>45861</v>
      </c>
      <c r="D2914" s="331">
        <f t="shared" si="41"/>
        <v>387281.72</v>
      </c>
      <c r="E2914" s="782">
        <v>126797.95</v>
      </c>
      <c r="F2914" s="764">
        <v>200</v>
      </c>
      <c r="G2914" s="589">
        <v>260283.77</v>
      </c>
    </row>
    <row r="2915" spans="3:7" x14ac:dyDescent="0.2">
      <c r="C2915" s="811">
        <v>45862</v>
      </c>
      <c r="D2915" s="331">
        <f t="shared" si="41"/>
        <v>387792.72</v>
      </c>
      <c r="E2915" s="782">
        <v>127308.95</v>
      </c>
      <c r="F2915" s="764">
        <v>200</v>
      </c>
      <c r="G2915" s="589">
        <v>260283.77</v>
      </c>
    </row>
    <row r="2916" spans="3:7" x14ac:dyDescent="0.2">
      <c r="C2916" s="811">
        <v>45862</v>
      </c>
      <c r="D2916" s="331">
        <f t="shared" si="41"/>
        <v>386693.89</v>
      </c>
      <c r="E2916" s="782">
        <v>126210.12</v>
      </c>
      <c r="F2916" s="764">
        <v>200</v>
      </c>
      <c r="G2916" s="589">
        <v>260283.77</v>
      </c>
    </row>
    <row r="2917" spans="3:7" x14ac:dyDescent="0.2">
      <c r="C2917" s="811">
        <v>45862</v>
      </c>
      <c r="D2917" s="331">
        <f t="shared" si="41"/>
        <v>403606.37</v>
      </c>
      <c r="E2917" s="782">
        <v>143122.6</v>
      </c>
      <c r="F2917" s="764">
        <v>200</v>
      </c>
      <c r="G2917" s="589">
        <v>260283.77</v>
      </c>
    </row>
    <row r="2918" spans="3:7" x14ac:dyDescent="0.2">
      <c r="C2918" s="811">
        <v>45863</v>
      </c>
      <c r="D2918" s="331">
        <f t="shared" si="41"/>
        <v>402581.49</v>
      </c>
      <c r="E2918" s="782">
        <v>142097.72</v>
      </c>
      <c r="F2918" s="764">
        <v>200</v>
      </c>
      <c r="G2918" s="589">
        <v>260283.77</v>
      </c>
    </row>
    <row r="2919" spans="3:7" x14ac:dyDescent="0.2">
      <c r="C2919" s="811">
        <v>45863</v>
      </c>
      <c r="D2919" s="331">
        <f t="shared" si="41"/>
        <v>402189.56999999995</v>
      </c>
      <c r="E2919" s="782">
        <v>141705.79999999999</v>
      </c>
      <c r="F2919" s="764">
        <v>200</v>
      </c>
      <c r="G2919" s="589">
        <v>260283.77</v>
      </c>
    </row>
    <row r="2920" spans="3:7" x14ac:dyDescent="0.2">
      <c r="C2920" s="811">
        <v>45863</v>
      </c>
      <c r="D2920" s="331">
        <f t="shared" si="41"/>
        <v>402044.56999999995</v>
      </c>
      <c r="E2920" s="782">
        <v>141560.79999999999</v>
      </c>
      <c r="F2920" s="764">
        <v>200</v>
      </c>
      <c r="G2920" s="589">
        <v>260283.77</v>
      </c>
    </row>
    <row r="2921" spans="3:7" x14ac:dyDescent="0.2">
      <c r="C2921" s="811">
        <v>45863</v>
      </c>
      <c r="D2921" s="331">
        <f t="shared" si="41"/>
        <v>401479.56999999995</v>
      </c>
      <c r="E2921" s="782">
        <v>140995.79999999999</v>
      </c>
      <c r="F2921" s="764">
        <v>200</v>
      </c>
      <c r="G2921" s="589">
        <v>260283.77</v>
      </c>
    </row>
    <row r="2922" spans="3:7" x14ac:dyDescent="0.2">
      <c r="C2922" s="811">
        <v>45866</v>
      </c>
      <c r="D2922" s="331">
        <f t="shared" si="41"/>
        <v>401450.47</v>
      </c>
      <c r="E2922" s="782">
        <v>140966.70000000001</v>
      </c>
      <c r="F2922" s="764">
        <v>200</v>
      </c>
      <c r="G2922" s="589">
        <v>260283.77</v>
      </c>
    </row>
    <row r="2923" spans="3:7" x14ac:dyDescent="0.2">
      <c r="C2923" s="811">
        <v>45868</v>
      </c>
      <c r="D2923" s="331">
        <f t="shared" si="41"/>
        <v>401450.62</v>
      </c>
      <c r="E2923" s="782">
        <v>102167.85</v>
      </c>
      <c r="F2923" s="764">
        <v>38999</v>
      </c>
      <c r="G2923" s="589">
        <v>260283.77</v>
      </c>
    </row>
    <row r="2924" spans="3:7" x14ac:dyDescent="0.2">
      <c r="C2924" s="811">
        <v>45869</v>
      </c>
      <c r="D2924" s="331">
        <f t="shared" si="41"/>
        <v>402510.08000000002</v>
      </c>
      <c r="E2924" s="782">
        <v>102497.85</v>
      </c>
      <c r="F2924" s="764">
        <v>38999</v>
      </c>
      <c r="G2924" s="589">
        <v>261013.23</v>
      </c>
    </row>
    <row r="2925" spans="3:7" x14ac:dyDescent="0.2">
      <c r="C2925" s="811">
        <v>45869</v>
      </c>
      <c r="D2925" s="331">
        <f t="shared" si="41"/>
        <v>406227.78</v>
      </c>
      <c r="E2925" s="782">
        <v>106215.55</v>
      </c>
      <c r="F2925" s="764">
        <v>38999</v>
      </c>
      <c r="G2925" s="589">
        <v>261013.23</v>
      </c>
    </row>
    <row r="2926" spans="3:7" x14ac:dyDescent="0.2">
      <c r="C2926" s="811">
        <v>45869</v>
      </c>
      <c r="D2926" s="331">
        <f t="shared" ref="D2926:D2986" si="42">E2926+F2926+G2926</f>
        <v>406327.38</v>
      </c>
      <c r="E2926" s="782">
        <v>106315.15</v>
      </c>
      <c r="F2926" s="764">
        <v>38999</v>
      </c>
      <c r="G2926" s="589">
        <v>261013.23</v>
      </c>
    </row>
    <row r="2927" spans="3:7" x14ac:dyDescent="0.2">
      <c r="C2927" s="811">
        <v>45870</v>
      </c>
      <c r="D2927" s="331">
        <f t="shared" si="42"/>
        <v>373220.45</v>
      </c>
      <c r="E2927" s="782">
        <v>105971.65</v>
      </c>
      <c r="F2927" s="764">
        <v>6235.57</v>
      </c>
      <c r="G2927" s="589">
        <v>261013.23</v>
      </c>
    </row>
    <row r="2928" spans="3:7" x14ac:dyDescent="0.2">
      <c r="C2928" s="811">
        <v>45870</v>
      </c>
      <c r="D2928" s="331">
        <f t="shared" si="42"/>
        <v>373166.93000000005</v>
      </c>
      <c r="E2928" s="782">
        <v>105918.13</v>
      </c>
      <c r="F2928" s="764">
        <v>6235.57</v>
      </c>
      <c r="G2928" s="589">
        <v>261013.23</v>
      </c>
    </row>
    <row r="2929" spans="3:7" x14ac:dyDescent="0.2">
      <c r="C2929" s="811">
        <v>45870</v>
      </c>
      <c r="D2929" s="331">
        <f t="shared" si="42"/>
        <v>372948.5</v>
      </c>
      <c r="E2929" s="782">
        <v>105699.7</v>
      </c>
      <c r="F2929" s="764">
        <v>6235.57</v>
      </c>
      <c r="G2929" s="589">
        <v>261013.23</v>
      </c>
    </row>
    <row r="2930" spans="3:7" x14ac:dyDescent="0.2">
      <c r="C2930" s="811">
        <v>45870</v>
      </c>
      <c r="D2930" s="331">
        <f t="shared" si="42"/>
        <v>370574.71</v>
      </c>
      <c r="E2930" s="782">
        <v>103325.91</v>
      </c>
      <c r="F2930" s="764">
        <v>6235.57</v>
      </c>
      <c r="G2930" s="589">
        <v>261013.23</v>
      </c>
    </row>
    <row r="2931" spans="3:7" x14ac:dyDescent="0.2">
      <c r="C2931" s="811">
        <v>45870</v>
      </c>
      <c r="D2931" s="331">
        <f t="shared" si="42"/>
        <v>371073.9</v>
      </c>
      <c r="E2931" s="782">
        <v>103825.1</v>
      </c>
      <c r="F2931" s="764">
        <v>6235.57</v>
      </c>
      <c r="G2931" s="589">
        <v>261013.23</v>
      </c>
    </row>
    <row r="2932" spans="3:7" x14ac:dyDescent="0.2">
      <c r="C2932" s="811">
        <v>45873</v>
      </c>
      <c r="D2932" s="331">
        <f t="shared" si="42"/>
        <v>370733.94</v>
      </c>
      <c r="E2932" s="782">
        <v>103485.14</v>
      </c>
      <c r="F2932" s="764">
        <v>6235.57</v>
      </c>
      <c r="G2932" s="589">
        <v>261013.23</v>
      </c>
    </row>
    <row r="2933" spans="3:7" x14ac:dyDescent="0.2">
      <c r="C2933" s="811">
        <v>45873</v>
      </c>
      <c r="D2933" s="331">
        <f t="shared" si="42"/>
        <v>370983.38</v>
      </c>
      <c r="E2933" s="782">
        <v>103734.58</v>
      </c>
      <c r="F2933" s="764">
        <v>6235.57</v>
      </c>
      <c r="G2933" s="589">
        <v>261013.23</v>
      </c>
    </row>
    <row r="2934" spans="3:7" x14ac:dyDescent="0.2">
      <c r="C2934" s="811">
        <v>45875</v>
      </c>
      <c r="D2934" s="331">
        <f t="shared" si="42"/>
        <v>370948.88</v>
      </c>
      <c r="E2934" s="782">
        <v>103700.08</v>
      </c>
      <c r="F2934" s="764">
        <v>6235.57</v>
      </c>
      <c r="G2934" s="589">
        <v>261013.23</v>
      </c>
    </row>
    <row r="2935" spans="3:7" x14ac:dyDescent="0.2">
      <c r="C2935" s="811">
        <v>45876</v>
      </c>
      <c r="D2935" s="331">
        <f t="shared" si="42"/>
        <v>372948.88</v>
      </c>
      <c r="E2935" s="782">
        <v>105700.08</v>
      </c>
      <c r="F2935" s="764">
        <v>6235.57</v>
      </c>
      <c r="G2935" s="589">
        <v>261013.23</v>
      </c>
    </row>
    <row r="2936" spans="3:7" x14ac:dyDescent="0.2">
      <c r="C2936" s="811">
        <v>45876</v>
      </c>
      <c r="D2936" s="331">
        <f t="shared" si="42"/>
        <v>372818.97</v>
      </c>
      <c r="E2936" s="782">
        <v>105570.17</v>
      </c>
      <c r="F2936" s="764">
        <v>6235.57</v>
      </c>
      <c r="G2936" s="589">
        <v>261013.23</v>
      </c>
    </row>
    <row r="2937" spans="3:7" x14ac:dyDescent="0.2">
      <c r="C2937" s="811">
        <v>45876</v>
      </c>
      <c r="D2937" s="331">
        <f t="shared" si="42"/>
        <v>372668.97</v>
      </c>
      <c r="E2937" s="782">
        <v>105420.17</v>
      </c>
      <c r="F2937" s="764">
        <v>6235.57</v>
      </c>
      <c r="G2937" s="589">
        <v>261013.23</v>
      </c>
    </row>
    <row r="2938" spans="3:7" x14ac:dyDescent="0.2">
      <c r="C2938" s="811">
        <v>45876</v>
      </c>
      <c r="D2938" s="331">
        <f t="shared" si="42"/>
        <v>372514.27</v>
      </c>
      <c r="E2938" s="782">
        <v>105265.47</v>
      </c>
      <c r="F2938" s="764">
        <v>6235.57</v>
      </c>
      <c r="G2938" s="589">
        <v>261013.23</v>
      </c>
    </row>
    <row r="2939" spans="3:7" x14ac:dyDescent="0.2">
      <c r="C2939" s="811">
        <v>45876</v>
      </c>
      <c r="D2939" s="331">
        <f t="shared" si="42"/>
        <v>370449.61</v>
      </c>
      <c r="E2939" s="782">
        <v>103200.81</v>
      </c>
      <c r="F2939" s="764">
        <v>6235.57</v>
      </c>
      <c r="G2939" s="589">
        <v>261013.23</v>
      </c>
    </row>
    <row r="2940" spans="3:7" x14ac:dyDescent="0.2">
      <c r="C2940" s="811">
        <v>45876</v>
      </c>
      <c r="D2940" s="331">
        <f t="shared" si="42"/>
        <v>370263.06</v>
      </c>
      <c r="E2940" s="782">
        <v>103014.26</v>
      </c>
      <c r="F2940" s="764">
        <v>6235.57</v>
      </c>
      <c r="G2940" s="589">
        <v>261013.23</v>
      </c>
    </row>
    <row r="2941" spans="3:7" x14ac:dyDescent="0.2">
      <c r="C2941" s="811">
        <v>45876</v>
      </c>
      <c r="D2941" s="331">
        <f t="shared" si="42"/>
        <v>370127.99</v>
      </c>
      <c r="E2941" s="782">
        <v>102879.19</v>
      </c>
      <c r="F2941" s="764">
        <v>6235.57</v>
      </c>
      <c r="G2941" s="589">
        <v>261013.23</v>
      </c>
    </row>
    <row r="2942" spans="3:7" x14ac:dyDescent="0.2">
      <c r="C2942" s="811">
        <v>45876</v>
      </c>
      <c r="D2942" s="331">
        <f t="shared" si="42"/>
        <v>367439.1</v>
      </c>
      <c r="E2942" s="782">
        <v>100190.3</v>
      </c>
      <c r="F2942" s="764">
        <v>6235.57</v>
      </c>
      <c r="G2942" s="589">
        <v>261013.23</v>
      </c>
    </row>
    <row r="2943" spans="3:7" x14ac:dyDescent="0.2">
      <c r="C2943" s="811">
        <v>45876</v>
      </c>
      <c r="D2943" s="331">
        <f t="shared" si="42"/>
        <v>367173.56</v>
      </c>
      <c r="E2943" s="782">
        <v>99924.76</v>
      </c>
      <c r="F2943" s="764">
        <v>6235.57</v>
      </c>
      <c r="G2943" s="589">
        <v>261013.23</v>
      </c>
    </row>
    <row r="2944" spans="3:7" x14ac:dyDescent="0.2">
      <c r="C2944" s="811">
        <v>45876</v>
      </c>
      <c r="D2944" s="331">
        <f t="shared" si="42"/>
        <v>367149.36</v>
      </c>
      <c r="E2944" s="782">
        <v>99900.56</v>
      </c>
      <c r="F2944" s="764">
        <v>6235.57</v>
      </c>
      <c r="G2944" s="589">
        <v>261013.23</v>
      </c>
    </row>
    <row r="2945" spans="3:7" x14ac:dyDescent="0.2">
      <c r="C2945" s="811">
        <v>45876</v>
      </c>
      <c r="D2945" s="331">
        <f t="shared" si="42"/>
        <v>366554.36</v>
      </c>
      <c r="E2945" s="782">
        <v>99305.56</v>
      </c>
      <c r="F2945" s="764">
        <v>6235.57</v>
      </c>
      <c r="G2945" s="589">
        <v>261013.23</v>
      </c>
    </row>
    <row r="2946" spans="3:7" x14ac:dyDescent="0.2">
      <c r="C2946" s="811">
        <v>45876</v>
      </c>
      <c r="D2946" s="331">
        <f t="shared" si="42"/>
        <v>366291.36</v>
      </c>
      <c r="E2946" s="782">
        <v>99042.559999999998</v>
      </c>
      <c r="F2946" s="764">
        <v>6235.57</v>
      </c>
      <c r="G2946" s="589">
        <v>261013.23</v>
      </c>
    </row>
    <row r="2947" spans="3:7" x14ac:dyDescent="0.2">
      <c r="C2947" s="811">
        <v>45876</v>
      </c>
      <c r="D2947" s="331">
        <f t="shared" si="42"/>
        <v>365726.4</v>
      </c>
      <c r="E2947" s="782">
        <v>98477.6</v>
      </c>
      <c r="F2947" s="764">
        <v>6235.57</v>
      </c>
      <c r="G2947" s="589">
        <v>261013.23</v>
      </c>
    </row>
    <row r="2948" spans="3:7" x14ac:dyDescent="0.2">
      <c r="C2948" s="811">
        <v>45876</v>
      </c>
      <c r="D2948" s="331">
        <f t="shared" si="42"/>
        <v>363341.49</v>
      </c>
      <c r="E2948" s="782">
        <v>96092.69</v>
      </c>
      <c r="F2948" s="764">
        <v>6235.57</v>
      </c>
      <c r="G2948" s="589">
        <v>261013.23</v>
      </c>
    </row>
    <row r="2949" spans="3:7" x14ac:dyDescent="0.2">
      <c r="C2949" s="811">
        <v>45876</v>
      </c>
      <c r="D2949" s="331">
        <f t="shared" si="42"/>
        <v>363249.49</v>
      </c>
      <c r="E2949" s="782">
        <v>96000.69</v>
      </c>
      <c r="F2949" s="764">
        <v>6235.57</v>
      </c>
      <c r="G2949" s="589">
        <v>261013.23</v>
      </c>
    </row>
    <row r="2950" spans="3:7" x14ac:dyDescent="0.2">
      <c r="C2950" s="811">
        <v>45881</v>
      </c>
      <c r="D2950" s="331">
        <f t="shared" si="42"/>
        <v>397533.02</v>
      </c>
      <c r="E2950" s="782">
        <v>130284.22</v>
      </c>
      <c r="F2950" s="764">
        <v>6235.57</v>
      </c>
      <c r="G2950" s="589">
        <v>261013.23</v>
      </c>
    </row>
    <row r="2951" spans="3:7" x14ac:dyDescent="0.2">
      <c r="C2951" s="811">
        <v>45882</v>
      </c>
      <c r="D2951" s="331">
        <f t="shared" si="42"/>
        <v>397533.02</v>
      </c>
      <c r="E2951" s="782">
        <v>96953.07</v>
      </c>
      <c r="F2951" s="764">
        <v>39566.720000000001</v>
      </c>
      <c r="G2951" s="589">
        <v>261013.23</v>
      </c>
    </row>
    <row r="2952" spans="3:7" x14ac:dyDescent="0.2">
      <c r="C2952" s="811">
        <v>45884</v>
      </c>
      <c r="D2952" s="331">
        <f t="shared" si="42"/>
        <v>373166.30000000005</v>
      </c>
      <c r="E2952" s="782">
        <v>111953.07</v>
      </c>
      <c r="F2952" s="764">
        <v>200</v>
      </c>
      <c r="G2952" s="589">
        <v>261013.23</v>
      </c>
    </row>
    <row r="2953" spans="3:7" x14ac:dyDescent="0.2">
      <c r="C2953" s="811">
        <v>45884</v>
      </c>
      <c r="D2953" s="331">
        <f t="shared" si="42"/>
        <v>373220.75</v>
      </c>
      <c r="E2953" s="782">
        <v>112007.52</v>
      </c>
      <c r="F2953" s="764">
        <v>200</v>
      </c>
      <c r="G2953" s="589">
        <v>261013.23</v>
      </c>
    </row>
    <row r="2954" spans="3:7" x14ac:dyDescent="0.2">
      <c r="C2954" s="811">
        <v>45884</v>
      </c>
      <c r="D2954" s="331">
        <f t="shared" si="42"/>
        <v>373273.14</v>
      </c>
      <c r="E2954" s="782">
        <v>112059.91</v>
      </c>
      <c r="F2954" s="764">
        <v>200</v>
      </c>
      <c r="G2954" s="589">
        <v>261013.23</v>
      </c>
    </row>
    <row r="2955" spans="3:7" x14ac:dyDescent="0.2">
      <c r="C2955" s="811">
        <v>45884</v>
      </c>
      <c r="D2955" s="331">
        <f t="shared" si="42"/>
        <v>398405.97</v>
      </c>
      <c r="E2955" s="782">
        <v>137192.74</v>
      </c>
      <c r="F2955" s="764">
        <v>200</v>
      </c>
      <c r="G2955" s="589">
        <v>261013.23</v>
      </c>
    </row>
    <row r="2956" spans="3:7" x14ac:dyDescent="0.2">
      <c r="C2956" s="811">
        <v>45884</v>
      </c>
      <c r="D2956" s="331">
        <f t="shared" si="42"/>
        <v>425038.58</v>
      </c>
      <c r="E2956" s="782">
        <v>163825.35</v>
      </c>
      <c r="F2956" s="764">
        <v>200</v>
      </c>
      <c r="G2956" s="589">
        <v>261013.23</v>
      </c>
    </row>
    <row r="2957" spans="3:7" x14ac:dyDescent="0.2">
      <c r="C2957" s="811">
        <v>45884</v>
      </c>
      <c r="D2957" s="331">
        <f t="shared" si="42"/>
        <v>449217.56</v>
      </c>
      <c r="E2957" s="782">
        <v>188004.33</v>
      </c>
      <c r="F2957" s="764">
        <v>200</v>
      </c>
      <c r="G2957" s="589">
        <v>261013.23</v>
      </c>
    </row>
    <row r="2958" spans="3:7" x14ac:dyDescent="0.2">
      <c r="C2958" s="811">
        <v>45884</v>
      </c>
      <c r="D2958" s="331">
        <f t="shared" si="42"/>
        <v>449228.73</v>
      </c>
      <c r="E2958" s="782">
        <v>188015.5</v>
      </c>
      <c r="F2958" s="764">
        <v>200</v>
      </c>
      <c r="G2958" s="589">
        <v>261013.23</v>
      </c>
    </row>
    <row r="2959" spans="3:7" x14ac:dyDescent="0.2">
      <c r="C2959" s="811">
        <v>45887</v>
      </c>
      <c r="D2959" s="331">
        <f t="shared" si="42"/>
        <v>449010.30000000005</v>
      </c>
      <c r="E2959" s="782">
        <v>187797.07</v>
      </c>
      <c r="F2959" s="764">
        <v>200</v>
      </c>
      <c r="G2959" s="589">
        <v>261013.23</v>
      </c>
    </row>
    <row r="2960" spans="3:7" x14ac:dyDescent="0.2">
      <c r="C2960" s="811">
        <v>45887</v>
      </c>
      <c r="D2960" s="331">
        <f t="shared" si="42"/>
        <v>448670.33999999997</v>
      </c>
      <c r="E2960" s="782">
        <v>187457.11</v>
      </c>
      <c r="F2960" s="764">
        <v>200</v>
      </c>
      <c r="G2960" s="589">
        <v>261013.23</v>
      </c>
    </row>
    <row r="2961" spans="3:7" x14ac:dyDescent="0.2">
      <c r="C2961" s="811">
        <v>45887</v>
      </c>
      <c r="D2961" s="331">
        <f t="shared" si="42"/>
        <v>448769.94</v>
      </c>
      <c r="E2961" s="782">
        <v>187556.71</v>
      </c>
      <c r="F2961" s="764">
        <v>200</v>
      </c>
      <c r="G2961" s="589">
        <v>261013.23</v>
      </c>
    </row>
    <row r="2962" spans="3:7" x14ac:dyDescent="0.2">
      <c r="C2962" s="811">
        <v>45889</v>
      </c>
      <c r="D2962" s="331">
        <f t="shared" si="42"/>
        <v>445848.65</v>
      </c>
      <c r="E2962" s="782">
        <v>184635.42</v>
      </c>
      <c r="F2962" s="764">
        <v>200</v>
      </c>
      <c r="G2962" s="589">
        <v>261013.23</v>
      </c>
    </row>
    <row r="2963" spans="3:7" x14ac:dyDescent="0.2">
      <c r="C2963" s="811">
        <v>45890</v>
      </c>
      <c r="D2963" s="331">
        <f t="shared" si="42"/>
        <v>445609.57</v>
      </c>
      <c r="E2963" s="782">
        <v>184396.34</v>
      </c>
      <c r="F2963" s="764">
        <v>200</v>
      </c>
      <c r="G2963" s="589">
        <v>261013.23</v>
      </c>
    </row>
    <row r="2964" spans="3:7" x14ac:dyDescent="0.2">
      <c r="C2964" s="811">
        <v>45890</v>
      </c>
      <c r="D2964" s="331">
        <f t="shared" si="42"/>
        <v>445591.92000000004</v>
      </c>
      <c r="E2964" s="782">
        <v>184378.69</v>
      </c>
      <c r="F2964" s="764">
        <v>200</v>
      </c>
      <c r="G2964" s="589">
        <v>261013.23</v>
      </c>
    </row>
    <row r="2965" spans="3:7" x14ac:dyDescent="0.2">
      <c r="C2965" s="811">
        <v>45890</v>
      </c>
      <c r="D2965" s="331">
        <f t="shared" si="42"/>
        <v>440533.01</v>
      </c>
      <c r="E2965" s="782">
        <v>179319.78</v>
      </c>
      <c r="F2965" s="764">
        <v>200</v>
      </c>
      <c r="G2965" s="589">
        <v>261013.23</v>
      </c>
    </row>
    <row r="2966" spans="3:7" x14ac:dyDescent="0.2">
      <c r="C2966" s="811">
        <v>45890</v>
      </c>
      <c r="D2966" s="331">
        <f t="shared" si="42"/>
        <v>440470.07</v>
      </c>
      <c r="E2966" s="782">
        <v>179256.84</v>
      </c>
      <c r="F2966" s="764">
        <v>200</v>
      </c>
      <c r="G2966" s="589">
        <v>261013.23</v>
      </c>
    </row>
    <row r="2967" spans="3:7" x14ac:dyDescent="0.2">
      <c r="C2967" s="811">
        <v>45890</v>
      </c>
      <c r="D2967" s="331">
        <f t="shared" si="42"/>
        <v>440086.57</v>
      </c>
      <c r="E2967" s="782">
        <v>178873.34</v>
      </c>
      <c r="F2967" s="764">
        <v>200</v>
      </c>
      <c r="G2967" s="589">
        <v>261013.23</v>
      </c>
    </row>
    <row r="2968" spans="3:7" x14ac:dyDescent="0.2">
      <c r="C2968" s="811">
        <v>45890</v>
      </c>
      <c r="D2968" s="331">
        <f t="shared" si="42"/>
        <v>439732.36</v>
      </c>
      <c r="E2968" s="782">
        <v>178519.13</v>
      </c>
      <c r="F2968" s="764">
        <v>200</v>
      </c>
      <c r="G2968" s="589">
        <v>261013.23</v>
      </c>
    </row>
    <row r="2969" spans="3:7" x14ac:dyDescent="0.2">
      <c r="C2969" s="811">
        <v>45890</v>
      </c>
      <c r="D2969" s="331">
        <f t="shared" si="42"/>
        <v>439597.36</v>
      </c>
      <c r="E2969" s="782">
        <v>178384.13</v>
      </c>
      <c r="F2969" s="764">
        <v>200</v>
      </c>
      <c r="G2969" s="589">
        <v>261013.23</v>
      </c>
    </row>
    <row r="2970" spans="3:7" x14ac:dyDescent="0.2">
      <c r="C2970" s="811">
        <v>45890</v>
      </c>
      <c r="D2970" s="331">
        <f t="shared" si="42"/>
        <v>439513.04000000004</v>
      </c>
      <c r="E2970" s="782">
        <v>178299.81</v>
      </c>
      <c r="F2970" s="764">
        <v>200</v>
      </c>
      <c r="G2970" s="589">
        <v>261013.23</v>
      </c>
    </row>
    <row r="2971" spans="3:7" x14ac:dyDescent="0.2">
      <c r="C2971" s="811">
        <v>45890</v>
      </c>
      <c r="D2971" s="331">
        <f t="shared" si="42"/>
        <v>439457.80000000005</v>
      </c>
      <c r="E2971" s="782">
        <v>178244.57</v>
      </c>
      <c r="F2971" s="764">
        <v>200</v>
      </c>
      <c r="G2971" s="589">
        <v>261013.23</v>
      </c>
    </row>
    <row r="2972" spans="3:7" x14ac:dyDescent="0.2">
      <c r="C2972" s="811">
        <v>45890</v>
      </c>
      <c r="D2972" s="331">
        <f t="shared" si="42"/>
        <v>439224.1</v>
      </c>
      <c r="E2972" s="782">
        <v>178010.87</v>
      </c>
      <c r="F2972" s="764">
        <v>200</v>
      </c>
      <c r="G2972" s="589">
        <v>261013.23</v>
      </c>
    </row>
    <row r="2973" spans="3:7" x14ac:dyDescent="0.2">
      <c r="C2973" s="811">
        <v>45890</v>
      </c>
      <c r="D2973" s="331">
        <f t="shared" si="42"/>
        <v>438658.61</v>
      </c>
      <c r="E2973" s="782">
        <v>177445.38</v>
      </c>
      <c r="F2973" s="764">
        <v>200</v>
      </c>
      <c r="G2973" s="589">
        <v>261013.23</v>
      </c>
    </row>
    <row r="2974" spans="3:7" x14ac:dyDescent="0.2">
      <c r="C2974" s="811">
        <v>45890</v>
      </c>
      <c r="D2974" s="331">
        <f t="shared" si="42"/>
        <v>437511.81</v>
      </c>
      <c r="E2974" s="782">
        <v>176298.58</v>
      </c>
      <c r="F2974" s="764">
        <v>200</v>
      </c>
      <c r="G2974" s="589">
        <v>261013.23</v>
      </c>
    </row>
    <row r="2975" spans="3:7" x14ac:dyDescent="0.2">
      <c r="C2975" s="811">
        <v>45890</v>
      </c>
      <c r="D2975" s="331">
        <f t="shared" si="42"/>
        <v>437611.41000000003</v>
      </c>
      <c r="E2975" s="782">
        <v>176398.18</v>
      </c>
      <c r="F2975" s="764">
        <v>200</v>
      </c>
      <c r="G2975" s="589">
        <v>261013.23</v>
      </c>
    </row>
    <row r="2976" spans="3:7" x14ac:dyDescent="0.2">
      <c r="C2976" s="811">
        <v>45891</v>
      </c>
      <c r="D2976" s="331">
        <f t="shared" si="42"/>
        <v>437853.11</v>
      </c>
      <c r="E2976" s="782">
        <v>176639.88</v>
      </c>
      <c r="F2976" s="764">
        <v>200</v>
      </c>
      <c r="G2976" s="589">
        <v>261013.23</v>
      </c>
    </row>
    <row r="2977" spans="3:7" x14ac:dyDescent="0.2">
      <c r="C2977" s="811">
        <v>45894</v>
      </c>
      <c r="D2977" s="331">
        <f t="shared" si="42"/>
        <v>437288.11</v>
      </c>
      <c r="E2977" s="782">
        <v>176074.88</v>
      </c>
      <c r="F2977" s="764">
        <v>200</v>
      </c>
      <c r="G2977" s="589">
        <v>261013.23</v>
      </c>
    </row>
    <row r="2978" spans="3:7" x14ac:dyDescent="0.2">
      <c r="C2978" s="811">
        <v>45894</v>
      </c>
      <c r="D2978" s="331">
        <f t="shared" si="42"/>
        <v>437537.55000000005</v>
      </c>
      <c r="E2978" s="782">
        <v>176324.32</v>
      </c>
      <c r="F2978" s="764">
        <v>200</v>
      </c>
      <c r="G2978" s="589">
        <v>261013.23</v>
      </c>
    </row>
    <row r="2979" spans="3:7" x14ac:dyDescent="0.2">
      <c r="C2979" s="811">
        <v>45895</v>
      </c>
      <c r="D2979" s="331">
        <f t="shared" si="42"/>
        <v>437508.45</v>
      </c>
      <c r="E2979" s="782">
        <v>176295.22</v>
      </c>
      <c r="F2979" s="764">
        <v>200</v>
      </c>
      <c r="G2979" s="589">
        <v>261013.23</v>
      </c>
    </row>
    <row r="2980" spans="3:7" x14ac:dyDescent="0.2">
      <c r="C2980" s="811">
        <v>45895</v>
      </c>
      <c r="D2980" s="331">
        <f t="shared" si="42"/>
        <v>454393.36</v>
      </c>
      <c r="E2980" s="782">
        <v>193180.13</v>
      </c>
      <c r="F2980" s="764">
        <v>200</v>
      </c>
      <c r="G2980" s="589">
        <v>261013.23</v>
      </c>
    </row>
    <row r="2981" spans="3:7" x14ac:dyDescent="0.2">
      <c r="C2981" s="811">
        <v>45896</v>
      </c>
      <c r="D2981" s="331">
        <f t="shared" si="42"/>
        <v>454174.93000000005</v>
      </c>
      <c r="E2981" s="782">
        <v>192961.7</v>
      </c>
      <c r="F2981" s="764">
        <v>200</v>
      </c>
      <c r="G2981" s="589">
        <v>261013.23</v>
      </c>
    </row>
    <row r="2982" spans="3:7" x14ac:dyDescent="0.2">
      <c r="C2982" s="811">
        <v>45896</v>
      </c>
      <c r="D2982" s="331">
        <f t="shared" si="42"/>
        <v>455174.97</v>
      </c>
      <c r="E2982" s="782">
        <v>155116.74</v>
      </c>
      <c r="F2982" s="764">
        <v>39045</v>
      </c>
      <c r="G2982" s="589">
        <v>261013.23</v>
      </c>
    </row>
    <row r="2983" spans="3:7" x14ac:dyDescent="0.2">
      <c r="C2983" s="811">
        <v>45897</v>
      </c>
      <c r="D2983" s="331">
        <f t="shared" si="42"/>
        <v>454816.45</v>
      </c>
      <c r="E2983" s="782">
        <v>154758.22</v>
      </c>
      <c r="F2983" s="764">
        <v>39045</v>
      </c>
      <c r="G2983" s="589">
        <v>261013.23</v>
      </c>
    </row>
    <row r="2984" spans="3:7" x14ac:dyDescent="0.2">
      <c r="C2984" s="811">
        <v>45898</v>
      </c>
      <c r="D2984" s="331">
        <f t="shared" si="42"/>
        <v>454169.53</v>
      </c>
      <c r="E2984" s="782">
        <v>189686.3</v>
      </c>
      <c r="F2984" s="764">
        <v>3470</v>
      </c>
      <c r="G2984" s="589">
        <v>261013.23</v>
      </c>
    </row>
    <row r="2985" spans="3:7" x14ac:dyDescent="0.2">
      <c r="C2985" s="811">
        <v>45898</v>
      </c>
      <c r="D2985" s="331">
        <f t="shared" si="42"/>
        <v>454169.53</v>
      </c>
      <c r="E2985" s="782">
        <v>189686.3</v>
      </c>
      <c r="F2985" s="764">
        <v>3470</v>
      </c>
      <c r="G2985" s="589">
        <v>261013.23</v>
      </c>
    </row>
    <row r="2986" spans="3:7" x14ac:dyDescent="0.2">
      <c r="C2986" s="811">
        <v>45900</v>
      </c>
      <c r="D2986" s="331">
        <f t="shared" si="42"/>
        <v>454169.53</v>
      </c>
      <c r="E2986" s="782">
        <v>189686.3</v>
      </c>
      <c r="F2986" s="764">
        <v>3470</v>
      </c>
      <c r="G2986" s="589">
        <v>261013.23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U3156"/>
  <sheetViews>
    <sheetView topLeftCell="A1134" zoomScale="115" zoomScaleNormal="115" workbookViewId="0">
      <selection activeCell="F640" sqref="F640:K641"/>
    </sheetView>
  </sheetViews>
  <sheetFormatPr defaultRowHeight="14.25" x14ac:dyDescent="0.2"/>
  <cols>
    <col min="1" max="1" width="24.625" style="344" bestFit="1" customWidth="1"/>
    <col min="2" max="2" width="9" style="331"/>
    <col min="3" max="3" width="17.75" bestFit="1" customWidth="1"/>
    <col min="5" max="5" width="10" bestFit="1" customWidth="1"/>
    <col min="6" max="6" width="9.875" bestFit="1" customWidth="1"/>
    <col min="7" max="7" width="15" bestFit="1" customWidth="1"/>
    <col min="8" max="8" width="9.75" bestFit="1" customWidth="1"/>
    <col min="11" max="11" width="11" bestFit="1" customWidth="1"/>
    <col min="12" max="12" width="13.25" bestFit="1" customWidth="1"/>
    <col min="13" max="13" width="19.125" customWidth="1"/>
    <col min="14" max="14" width="17.375" bestFit="1" customWidth="1"/>
  </cols>
  <sheetData>
    <row r="3" spans="1:2" ht="15" thickBot="1" x14ac:dyDescent="0.25">
      <c r="A3" s="343" t="s">
        <v>275</v>
      </c>
      <c r="B3" s="328" t="s">
        <v>276</v>
      </c>
    </row>
    <row r="4" spans="1:2" ht="15" thickTop="1" x14ac:dyDescent="0.2">
      <c r="A4" s="728">
        <v>42370</v>
      </c>
      <c r="B4" s="329">
        <v>316020.78000000003</v>
      </c>
    </row>
    <row r="5" spans="1:2" x14ac:dyDescent="0.2">
      <c r="A5" s="728">
        <v>42373</v>
      </c>
      <c r="B5" s="330">
        <v>315970.78000000003</v>
      </c>
    </row>
    <row r="6" spans="1:2" x14ac:dyDescent="0.2">
      <c r="A6" s="728">
        <v>42374</v>
      </c>
      <c r="B6" s="330">
        <v>320557.63</v>
      </c>
    </row>
    <row r="7" spans="1:2" x14ac:dyDescent="0.2">
      <c r="A7" s="728">
        <v>42375</v>
      </c>
      <c r="B7" s="330">
        <f>B6</f>
        <v>320557.63</v>
      </c>
    </row>
    <row r="8" spans="1:2" x14ac:dyDescent="0.2">
      <c r="A8" s="728">
        <v>42376</v>
      </c>
      <c r="B8" s="330">
        <v>323108.86</v>
      </c>
    </row>
    <row r="9" spans="1:2" x14ac:dyDescent="0.2">
      <c r="A9" s="728">
        <v>42377</v>
      </c>
      <c r="B9" s="330">
        <f>B8</f>
        <v>323108.86</v>
      </c>
    </row>
    <row r="10" spans="1:2" x14ac:dyDescent="0.2">
      <c r="A10" s="728">
        <v>42380</v>
      </c>
      <c r="B10" s="330">
        <v>323239.86</v>
      </c>
    </row>
    <row r="11" spans="1:2" x14ac:dyDescent="0.2">
      <c r="A11" s="728">
        <v>42381</v>
      </c>
      <c r="B11" s="330">
        <v>288792.71999999997</v>
      </c>
    </row>
    <row r="12" spans="1:2" x14ac:dyDescent="0.2">
      <c r="A12" s="728">
        <v>42382</v>
      </c>
      <c r="B12" s="330">
        <f>B11</f>
        <v>288792.71999999997</v>
      </c>
    </row>
    <row r="13" spans="1:2" x14ac:dyDescent="0.2">
      <c r="A13" s="728">
        <v>42383</v>
      </c>
      <c r="B13" s="330">
        <v>277881.3</v>
      </c>
    </row>
    <row r="14" spans="1:2" x14ac:dyDescent="0.2">
      <c r="A14" s="728">
        <v>42384</v>
      </c>
      <c r="B14" s="330">
        <v>293922.15000000002</v>
      </c>
    </row>
    <row r="15" spans="1:2" x14ac:dyDescent="0.2">
      <c r="A15" s="728">
        <v>42387</v>
      </c>
      <c r="B15" s="330">
        <f>B14</f>
        <v>293922.15000000002</v>
      </c>
    </row>
    <row r="16" spans="1:2" x14ac:dyDescent="0.2">
      <c r="A16" s="728">
        <v>42388</v>
      </c>
      <c r="B16" s="330">
        <f>B14</f>
        <v>293922.15000000002</v>
      </c>
    </row>
    <row r="17" spans="1:2" x14ac:dyDescent="0.2">
      <c r="A17" s="728">
        <v>42389</v>
      </c>
      <c r="B17" s="330">
        <v>294002.2</v>
      </c>
    </row>
    <row r="18" spans="1:2" x14ac:dyDescent="0.2">
      <c r="A18" s="728">
        <v>42390</v>
      </c>
      <c r="B18" s="330">
        <v>285645.33</v>
      </c>
    </row>
    <row r="19" spans="1:2" x14ac:dyDescent="0.2">
      <c r="A19" s="728">
        <v>42391</v>
      </c>
      <c r="B19" s="330">
        <f>B18</f>
        <v>285645.33</v>
      </c>
    </row>
    <row r="20" spans="1:2" x14ac:dyDescent="0.2">
      <c r="A20" s="728">
        <v>42394</v>
      </c>
      <c r="B20" s="330">
        <v>310939.57</v>
      </c>
    </row>
    <row r="21" spans="1:2" x14ac:dyDescent="0.2">
      <c r="A21" s="728">
        <v>42395</v>
      </c>
      <c r="B21" s="330">
        <v>285520.28000000003</v>
      </c>
    </row>
    <row r="22" spans="1:2" x14ac:dyDescent="0.2">
      <c r="A22" s="728">
        <v>42396</v>
      </c>
      <c r="B22" s="330">
        <f>B21</f>
        <v>285520.28000000003</v>
      </c>
    </row>
    <row r="23" spans="1:2" x14ac:dyDescent="0.2">
      <c r="A23" s="728">
        <v>42397</v>
      </c>
      <c r="B23" s="330">
        <v>282022.58</v>
      </c>
    </row>
    <row r="24" spans="1:2" x14ac:dyDescent="0.2">
      <c r="A24" s="728">
        <v>42398</v>
      </c>
      <c r="B24" s="330">
        <v>294848.15999999997</v>
      </c>
    </row>
    <row r="25" spans="1:2" x14ac:dyDescent="0.2">
      <c r="A25" s="728">
        <v>42401</v>
      </c>
      <c r="B25" s="330">
        <v>295971.7</v>
      </c>
    </row>
    <row r="26" spans="1:2" x14ac:dyDescent="0.2">
      <c r="A26" s="728">
        <v>42402</v>
      </c>
      <c r="B26" s="330">
        <v>342700.41</v>
      </c>
    </row>
    <row r="27" spans="1:2" x14ac:dyDescent="0.2">
      <c r="A27" s="728">
        <v>42403</v>
      </c>
      <c r="B27" s="330">
        <f>B26</f>
        <v>342700.41</v>
      </c>
    </row>
    <row r="28" spans="1:2" x14ac:dyDescent="0.2">
      <c r="A28" s="728">
        <v>42404</v>
      </c>
      <c r="B28" s="330">
        <v>337638.63</v>
      </c>
    </row>
    <row r="29" spans="1:2" x14ac:dyDescent="0.2">
      <c r="A29" s="728">
        <v>42405</v>
      </c>
      <c r="B29" s="330">
        <v>367843.39</v>
      </c>
    </row>
    <row r="30" spans="1:2" x14ac:dyDescent="0.2">
      <c r="A30" s="728">
        <v>42408</v>
      </c>
      <c r="B30" s="330">
        <v>367773.39</v>
      </c>
    </row>
    <row r="31" spans="1:2" x14ac:dyDescent="0.2">
      <c r="A31" s="728">
        <v>42409</v>
      </c>
      <c r="B31" s="330">
        <v>339527.33</v>
      </c>
    </row>
    <row r="32" spans="1:2" x14ac:dyDescent="0.2">
      <c r="A32" s="728">
        <v>42410</v>
      </c>
      <c r="B32" s="330">
        <f>B31</f>
        <v>339527.33</v>
      </c>
    </row>
    <row r="33" spans="1:2" x14ac:dyDescent="0.2">
      <c r="A33" s="728">
        <v>42411</v>
      </c>
      <c r="B33" s="330">
        <v>336968.79</v>
      </c>
    </row>
    <row r="34" spans="1:2" x14ac:dyDescent="0.2">
      <c r="A34" s="728">
        <v>42412</v>
      </c>
      <c r="B34" s="330">
        <v>337055.76</v>
      </c>
    </row>
    <row r="35" spans="1:2" x14ac:dyDescent="0.2">
      <c r="A35" s="728">
        <v>42415</v>
      </c>
      <c r="B35" s="330">
        <f>B34</f>
        <v>337055.76</v>
      </c>
    </row>
    <row r="36" spans="1:2" x14ac:dyDescent="0.2">
      <c r="A36" s="728">
        <v>42416</v>
      </c>
      <c r="B36" s="330">
        <f>B35</f>
        <v>337055.76</v>
      </c>
    </row>
    <row r="37" spans="1:2" x14ac:dyDescent="0.2">
      <c r="A37" s="728">
        <v>42417</v>
      </c>
      <c r="B37" s="330">
        <v>365266.06</v>
      </c>
    </row>
    <row r="38" spans="1:2" x14ac:dyDescent="0.2">
      <c r="A38" s="728">
        <v>42418</v>
      </c>
      <c r="B38" s="330">
        <v>360871.98</v>
      </c>
    </row>
    <row r="39" spans="1:2" x14ac:dyDescent="0.2">
      <c r="A39" s="728">
        <v>42419</v>
      </c>
      <c r="B39" s="330">
        <f>B38</f>
        <v>360871.98</v>
      </c>
    </row>
    <row r="40" spans="1:2" x14ac:dyDescent="0.2">
      <c r="A40" s="728">
        <v>42421</v>
      </c>
      <c r="B40" s="330">
        <f>B39</f>
        <v>360871.98</v>
      </c>
    </row>
    <row r="41" spans="1:2" x14ac:dyDescent="0.2">
      <c r="A41" s="728">
        <v>42423</v>
      </c>
      <c r="B41" s="330">
        <v>355845.62</v>
      </c>
    </row>
    <row r="42" spans="1:2" x14ac:dyDescent="0.2">
      <c r="A42" s="728">
        <v>42424</v>
      </c>
      <c r="B42" s="330">
        <f>B41</f>
        <v>355845.62</v>
      </c>
    </row>
    <row r="43" spans="1:2" x14ac:dyDescent="0.2">
      <c r="A43" s="728">
        <v>42425</v>
      </c>
      <c r="B43" s="330">
        <v>345399.7</v>
      </c>
    </row>
    <row r="44" spans="1:2" x14ac:dyDescent="0.2">
      <c r="A44" s="728">
        <v>42426</v>
      </c>
      <c r="B44" s="330">
        <v>370500.69</v>
      </c>
    </row>
    <row r="45" spans="1:2" x14ac:dyDescent="0.2">
      <c r="A45" s="728">
        <v>42429</v>
      </c>
      <c r="B45" s="330">
        <v>389846.49</v>
      </c>
    </row>
    <row r="46" spans="1:2" x14ac:dyDescent="0.2">
      <c r="A46" s="728">
        <v>42430</v>
      </c>
      <c r="B46" s="330">
        <f>B45</f>
        <v>389846.49</v>
      </c>
    </row>
    <row r="47" spans="1:2" x14ac:dyDescent="0.2">
      <c r="A47" s="728">
        <v>42431</v>
      </c>
      <c r="B47" s="330">
        <f>B46</f>
        <v>389846.49</v>
      </c>
    </row>
    <row r="48" spans="1:2" x14ac:dyDescent="0.2">
      <c r="A48" s="728">
        <v>42432</v>
      </c>
      <c r="B48" s="330">
        <v>378391.97</v>
      </c>
    </row>
    <row r="49" spans="1:2" x14ac:dyDescent="0.2">
      <c r="A49" s="728">
        <v>42433</v>
      </c>
      <c r="B49" s="330">
        <v>424034.23</v>
      </c>
    </row>
    <row r="50" spans="1:2" x14ac:dyDescent="0.2">
      <c r="A50" s="728">
        <v>42436</v>
      </c>
      <c r="B50" s="330">
        <f>B49</f>
        <v>424034.23</v>
      </c>
    </row>
    <row r="51" spans="1:2" x14ac:dyDescent="0.2">
      <c r="A51" s="728">
        <v>42437</v>
      </c>
      <c r="B51" s="330">
        <v>386665.73</v>
      </c>
    </row>
    <row r="52" spans="1:2" x14ac:dyDescent="0.2">
      <c r="A52" s="728">
        <v>42438</v>
      </c>
      <c r="B52" s="330">
        <f>B51</f>
        <v>386665.73</v>
      </c>
    </row>
    <row r="53" spans="1:2" x14ac:dyDescent="0.2">
      <c r="A53" s="728">
        <v>42439</v>
      </c>
      <c r="B53" s="330">
        <v>389219.85</v>
      </c>
    </row>
    <row r="54" spans="1:2" x14ac:dyDescent="0.2">
      <c r="A54" s="728">
        <v>42440</v>
      </c>
      <c r="B54" s="330">
        <v>406100.98</v>
      </c>
    </row>
    <row r="55" spans="1:2" x14ac:dyDescent="0.2">
      <c r="A55" s="728">
        <v>42443</v>
      </c>
      <c r="B55" s="330">
        <v>407873.33</v>
      </c>
    </row>
    <row r="56" spans="1:2" x14ac:dyDescent="0.2">
      <c r="A56" s="728">
        <v>42444</v>
      </c>
      <c r="B56" s="330">
        <v>407992.23</v>
      </c>
    </row>
    <row r="57" spans="1:2" x14ac:dyDescent="0.2">
      <c r="A57" s="728">
        <v>42445</v>
      </c>
      <c r="B57" s="330">
        <v>433808.81</v>
      </c>
    </row>
    <row r="58" spans="1:2" x14ac:dyDescent="0.2">
      <c r="A58" s="728">
        <v>42446</v>
      </c>
      <c r="B58" s="330">
        <v>422290.94</v>
      </c>
    </row>
    <row r="59" spans="1:2" x14ac:dyDescent="0.2">
      <c r="A59" s="728">
        <v>42447</v>
      </c>
      <c r="B59" s="330">
        <v>468026.54</v>
      </c>
    </row>
    <row r="60" spans="1:2" x14ac:dyDescent="0.2">
      <c r="A60" s="728">
        <v>42450</v>
      </c>
      <c r="B60" s="330">
        <v>348026.54</v>
      </c>
    </row>
    <row r="61" spans="1:2" x14ac:dyDescent="0.2">
      <c r="A61" s="728">
        <v>42451</v>
      </c>
      <c r="B61" s="330">
        <v>312876.71000000002</v>
      </c>
    </row>
    <row r="62" spans="1:2" x14ac:dyDescent="0.2">
      <c r="A62" s="728">
        <v>42452</v>
      </c>
      <c r="B62" s="330">
        <v>314939.26</v>
      </c>
    </row>
    <row r="63" spans="1:2" x14ac:dyDescent="0.2">
      <c r="A63" s="728">
        <v>42453</v>
      </c>
      <c r="B63" s="330">
        <v>309254.23</v>
      </c>
    </row>
    <row r="64" spans="1:2" x14ac:dyDescent="0.2">
      <c r="A64" s="728">
        <v>42454</v>
      </c>
      <c r="B64" s="330">
        <v>308314.94</v>
      </c>
    </row>
    <row r="65" spans="1:2" x14ac:dyDescent="0.2">
      <c r="A65" s="728">
        <v>42457</v>
      </c>
      <c r="B65" s="330">
        <f>B64</f>
        <v>308314.94</v>
      </c>
    </row>
    <row r="66" spans="1:2" x14ac:dyDescent="0.2">
      <c r="A66" s="728">
        <v>42458</v>
      </c>
      <c r="B66" s="330">
        <v>308501.75</v>
      </c>
    </row>
    <row r="67" spans="1:2" x14ac:dyDescent="0.2">
      <c r="A67" s="728">
        <v>42459</v>
      </c>
      <c r="B67" s="330">
        <f>B66</f>
        <v>308501.75</v>
      </c>
    </row>
    <row r="68" spans="1:2" x14ac:dyDescent="0.2">
      <c r="A68" s="728">
        <v>42460</v>
      </c>
      <c r="B68" s="330">
        <v>309191.53000000003</v>
      </c>
    </row>
    <row r="69" spans="1:2" x14ac:dyDescent="0.2">
      <c r="A69" s="728">
        <v>42461</v>
      </c>
      <c r="B69" s="330">
        <f>B68</f>
        <v>309191.53000000003</v>
      </c>
    </row>
    <row r="70" spans="1:2" x14ac:dyDescent="0.2">
      <c r="A70" s="728">
        <v>42464</v>
      </c>
      <c r="B70" s="330">
        <v>273521.59999999998</v>
      </c>
    </row>
    <row r="71" spans="1:2" x14ac:dyDescent="0.2">
      <c r="A71" s="728">
        <v>42465</v>
      </c>
      <c r="B71" s="330">
        <f>B70</f>
        <v>273521.59999999998</v>
      </c>
    </row>
    <row r="72" spans="1:2" x14ac:dyDescent="0.2">
      <c r="A72" s="728">
        <v>42466</v>
      </c>
      <c r="B72" s="330">
        <v>272690.59999999998</v>
      </c>
    </row>
    <row r="73" spans="1:2" x14ac:dyDescent="0.2">
      <c r="A73" s="728">
        <v>42467</v>
      </c>
      <c r="B73" s="330">
        <v>269582.73</v>
      </c>
    </row>
    <row r="74" spans="1:2" x14ac:dyDescent="0.2">
      <c r="A74" s="728">
        <v>42468</v>
      </c>
      <c r="B74" s="330">
        <f>B73</f>
        <v>269582.73</v>
      </c>
    </row>
    <row r="75" spans="1:2" x14ac:dyDescent="0.2">
      <c r="A75" s="728">
        <v>42471</v>
      </c>
      <c r="B75" s="330">
        <v>269763.98</v>
      </c>
    </row>
    <row r="76" spans="1:2" x14ac:dyDescent="0.2">
      <c r="A76" s="728">
        <v>42472</v>
      </c>
      <c r="B76" s="330">
        <f>B75</f>
        <v>269763.98</v>
      </c>
    </row>
    <row r="77" spans="1:2" x14ac:dyDescent="0.2">
      <c r="A77" s="728">
        <v>42473</v>
      </c>
      <c r="B77" s="330">
        <v>269925.98</v>
      </c>
    </row>
    <row r="78" spans="1:2" x14ac:dyDescent="0.2">
      <c r="A78" s="728">
        <v>42474</v>
      </c>
      <c r="B78" s="330">
        <v>262853.87</v>
      </c>
    </row>
    <row r="79" spans="1:2" x14ac:dyDescent="0.2">
      <c r="A79" s="728">
        <v>42475</v>
      </c>
      <c r="B79" s="330">
        <v>285492.90999999997</v>
      </c>
    </row>
    <row r="80" spans="1:2" x14ac:dyDescent="0.2">
      <c r="A80" s="728">
        <v>42478</v>
      </c>
      <c r="B80" s="330">
        <v>248936.49</v>
      </c>
    </row>
    <row r="81" spans="1:2" x14ac:dyDescent="0.2">
      <c r="A81" s="728">
        <v>42479</v>
      </c>
      <c r="B81" s="330">
        <v>299276.93</v>
      </c>
    </row>
    <row r="82" spans="1:2" x14ac:dyDescent="0.2">
      <c r="A82" s="728">
        <v>42480</v>
      </c>
      <c r="B82" s="330">
        <v>298671.93</v>
      </c>
    </row>
    <row r="83" spans="1:2" x14ac:dyDescent="0.2">
      <c r="A83" s="728">
        <v>42481</v>
      </c>
      <c r="B83" s="330">
        <v>300188.76</v>
      </c>
    </row>
    <row r="84" spans="1:2" x14ac:dyDescent="0.2">
      <c r="A84" s="728">
        <v>42482</v>
      </c>
      <c r="B84" s="330">
        <v>320014.86</v>
      </c>
    </row>
    <row r="85" spans="1:2" x14ac:dyDescent="0.2">
      <c r="A85" s="728">
        <v>42485</v>
      </c>
      <c r="B85" s="330">
        <v>316702.44</v>
      </c>
    </row>
    <row r="86" spans="1:2" x14ac:dyDescent="0.2">
      <c r="A86" s="728">
        <v>42486</v>
      </c>
      <c r="B86" s="330">
        <f>B85</f>
        <v>316702.44</v>
      </c>
    </row>
    <row r="87" spans="1:2" x14ac:dyDescent="0.2">
      <c r="A87" s="728">
        <v>42487</v>
      </c>
      <c r="B87" s="330">
        <v>316945.44</v>
      </c>
    </row>
    <row r="88" spans="1:2" x14ac:dyDescent="0.2">
      <c r="A88" s="728">
        <v>42488</v>
      </c>
      <c r="B88" s="330">
        <v>320979.96999999997</v>
      </c>
    </row>
    <row r="89" spans="1:2" x14ac:dyDescent="0.2">
      <c r="A89" s="728">
        <v>42489</v>
      </c>
      <c r="B89" s="330">
        <f>B88</f>
        <v>320979.96999999997</v>
      </c>
    </row>
    <row r="90" spans="1:2" x14ac:dyDescent="0.2">
      <c r="A90" s="728">
        <v>42492</v>
      </c>
      <c r="B90" s="330">
        <v>285992.84000000003</v>
      </c>
    </row>
    <row r="91" spans="1:2" x14ac:dyDescent="0.2">
      <c r="A91" s="728">
        <v>42493</v>
      </c>
      <c r="B91" s="330">
        <v>286063.08</v>
      </c>
    </row>
    <row r="92" spans="1:2" x14ac:dyDescent="0.2">
      <c r="A92" s="728">
        <v>42494</v>
      </c>
      <c r="B92" s="330">
        <v>314586.46000000002</v>
      </c>
    </row>
    <row r="93" spans="1:2" x14ac:dyDescent="0.2">
      <c r="A93" s="728">
        <v>42495</v>
      </c>
      <c r="B93" s="330">
        <v>317747.52</v>
      </c>
    </row>
    <row r="94" spans="1:2" x14ac:dyDescent="0.2">
      <c r="A94" s="728">
        <v>42496</v>
      </c>
      <c r="B94" s="330">
        <f>B93</f>
        <v>317747.52</v>
      </c>
    </row>
    <row r="95" spans="1:2" x14ac:dyDescent="0.2">
      <c r="A95" s="728">
        <v>42499</v>
      </c>
      <c r="B95" s="330">
        <v>317647.52</v>
      </c>
    </row>
    <row r="96" spans="1:2" x14ac:dyDescent="0.2">
      <c r="A96" s="728">
        <v>42500</v>
      </c>
      <c r="B96" s="330">
        <v>354645.16</v>
      </c>
    </row>
    <row r="97" spans="1:2" x14ac:dyDescent="0.2">
      <c r="A97" s="728">
        <v>42501</v>
      </c>
      <c r="B97" s="330">
        <f>B96</f>
        <v>354645.16</v>
      </c>
    </row>
    <row r="98" spans="1:2" x14ac:dyDescent="0.2">
      <c r="A98" s="728">
        <v>42502</v>
      </c>
      <c r="B98" s="330">
        <v>334676.08</v>
      </c>
    </row>
    <row r="99" spans="1:2" x14ac:dyDescent="0.2">
      <c r="A99" s="728">
        <v>42503</v>
      </c>
      <c r="B99" s="330">
        <v>335053.34999999998</v>
      </c>
    </row>
    <row r="100" spans="1:2" x14ac:dyDescent="0.2">
      <c r="A100" s="728">
        <v>42506</v>
      </c>
      <c r="B100" s="330">
        <v>299641.7</v>
      </c>
    </row>
    <row r="101" spans="1:2" x14ac:dyDescent="0.2">
      <c r="A101" s="728">
        <v>42507</v>
      </c>
      <c r="B101" s="330">
        <f>B100</f>
        <v>299641.7</v>
      </c>
    </row>
    <row r="102" spans="1:2" x14ac:dyDescent="0.2">
      <c r="A102" s="728">
        <v>42508</v>
      </c>
      <c r="B102" s="330">
        <v>316034.81</v>
      </c>
    </row>
    <row r="103" spans="1:2" x14ac:dyDescent="0.2">
      <c r="A103" s="728">
        <v>42509</v>
      </c>
      <c r="B103" s="330">
        <v>320069.11</v>
      </c>
    </row>
    <row r="104" spans="1:2" x14ac:dyDescent="0.2">
      <c r="A104" s="728">
        <v>42510</v>
      </c>
      <c r="B104" s="330">
        <v>328514.03000000003</v>
      </c>
    </row>
    <row r="105" spans="1:2" x14ac:dyDescent="0.2">
      <c r="A105" s="728">
        <v>42513</v>
      </c>
      <c r="B105" s="330">
        <f>B104</f>
        <v>328514.03000000003</v>
      </c>
    </row>
    <row r="106" spans="1:2" x14ac:dyDescent="0.2">
      <c r="A106" s="728">
        <v>42514</v>
      </c>
      <c r="B106" s="330">
        <v>334541.26</v>
      </c>
    </row>
    <row r="107" spans="1:2" x14ac:dyDescent="0.2">
      <c r="A107" s="728">
        <v>42515</v>
      </c>
      <c r="B107" s="330">
        <v>329880.45</v>
      </c>
    </row>
    <row r="108" spans="1:2" x14ac:dyDescent="0.2">
      <c r="A108" s="728">
        <v>42516</v>
      </c>
      <c r="B108" s="331">
        <v>337992.17</v>
      </c>
    </row>
    <row r="109" spans="1:2" x14ac:dyDescent="0.2">
      <c r="A109" s="728">
        <v>42517</v>
      </c>
      <c r="B109" s="331">
        <v>347755.4</v>
      </c>
    </row>
    <row r="110" spans="1:2" x14ac:dyDescent="0.2">
      <c r="A110" s="728">
        <v>42520</v>
      </c>
      <c r="B110" s="331">
        <v>347755.4</v>
      </c>
    </row>
    <row r="111" spans="1:2" x14ac:dyDescent="0.2">
      <c r="A111" s="728">
        <v>42521</v>
      </c>
      <c r="B111" s="331">
        <v>312817.88</v>
      </c>
    </row>
    <row r="112" spans="1:2" x14ac:dyDescent="0.2">
      <c r="A112" s="728">
        <v>42522</v>
      </c>
      <c r="B112" s="331">
        <v>314571.3</v>
      </c>
    </row>
    <row r="113" spans="1:2" x14ac:dyDescent="0.2">
      <c r="A113" s="728">
        <v>42523</v>
      </c>
      <c r="B113" s="331">
        <v>302515.78000000003</v>
      </c>
    </row>
    <row r="114" spans="1:2" x14ac:dyDescent="0.2">
      <c r="A114" s="728">
        <v>42524</v>
      </c>
      <c r="B114" s="331">
        <v>302516</v>
      </c>
    </row>
    <row r="115" spans="1:2" x14ac:dyDescent="0.2">
      <c r="A115" s="728">
        <v>42527</v>
      </c>
      <c r="B115" s="331">
        <v>302516</v>
      </c>
    </row>
    <row r="116" spans="1:2" x14ac:dyDescent="0.2">
      <c r="A116" s="728">
        <v>42528</v>
      </c>
      <c r="B116" s="331">
        <v>302516</v>
      </c>
    </row>
    <row r="117" spans="1:2" x14ac:dyDescent="0.2">
      <c r="A117" s="728">
        <v>42529</v>
      </c>
      <c r="B117" s="331">
        <v>279865.95</v>
      </c>
    </row>
    <row r="118" spans="1:2" x14ac:dyDescent="0.2">
      <c r="A118" s="728">
        <v>42530</v>
      </c>
      <c r="B118" s="331">
        <v>279866</v>
      </c>
    </row>
    <row r="119" spans="1:2" x14ac:dyDescent="0.2">
      <c r="A119" s="728">
        <v>42531</v>
      </c>
      <c r="B119" s="331">
        <v>279866</v>
      </c>
    </row>
    <row r="120" spans="1:2" x14ac:dyDescent="0.2">
      <c r="A120" s="728">
        <v>42534</v>
      </c>
      <c r="B120" s="331">
        <v>279866</v>
      </c>
    </row>
    <row r="121" spans="1:2" x14ac:dyDescent="0.2">
      <c r="A121" s="728">
        <v>42535</v>
      </c>
      <c r="B121" s="331">
        <v>279866</v>
      </c>
    </row>
    <row r="122" spans="1:2" x14ac:dyDescent="0.2">
      <c r="A122" s="728">
        <v>42536</v>
      </c>
      <c r="B122" s="331">
        <v>290096.01</v>
      </c>
    </row>
    <row r="123" spans="1:2" x14ac:dyDescent="0.2">
      <c r="A123" s="728">
        <v>42537</v>
      </c>
      <c r="B123" s="331">
        <v>247423.5</v>
      </c>
    </row>
    <row r="124" spans="1:2" x14ac:dyDescent="0.2">
      <c r="A124" s="728">
        <v>42538</v>
      </c>
      <c r="B124" s="331">
        <v>247424</v>
      </c>
    </row>
    <row r="125" spans="1:2" x14ac:dyDescent="0.2">
      <c r="A125" s="728">
        <v>42541</v>
      </c>
      <c r="B125" s="331">
        <v>247424</v>
      </c>
    </row>
    <row r="126" spans="1:2" x14ac:dyDescent="0.2">
      <c r="A126" s="728">
        <v>42542</v>
      </c>
      <c r="B126" s="331">
        <v>255459.85</v>
      </c>
    </row>
    <row r="127" spans="1:2" x14ac:dyDescent="0.2">
      <c r="A127" s="728">
        <v>42543</v>
      </c>
      <c r="B127" s="331">
        <v>255460</v>
      </c>
    </row>
    <row r="128" spans="1:2" x14ac:dyDescent="0.2">
      <c r="A128" s="728">
        <f>A127+1</f>
        <v>42544</v>
      </c>
      <c r="B128" s="331">
        <v>240780.4</v>
      </c>
    </row>
    <row r="129" spans="1:2" x14ac:dyDescent="0.2">
      <c r="A129" s="728">
        <f>A128+1</f>
        <v>42545</v>
      </c>
      <c r="B129" s="331">
        <v>240780</v>
      </c>
    </row>
    <row r="130" spans="1:2" x14ac:dyDescent="0.2">
      <c r="A130" s="728">
        <f>A125+7</f>
        <v>42548</v>
      </c>
      <c r="B130" s="331">
        <v>205735.12</v>
      </c>
    </row>
    <row r="131" spans="1:2" x14ac:dyDescent="0.2">
      <c r="A131" s="728">
        <f>A126+7</f>
        <v>42549</v>
      </c>
      <c r="B131" s="331">
        <v>207489.37</v>
      </c>
    </row>
    <row r="132" spans="1:2" x14ac:dyDescent="0.2">
      <c r="A132" s="728">
        <f t="shared" ref="A132:A195" si="0">A127+7</f>
        <v>42550</v>
      </c>
      <c r="B132" s="331">
        <v>213757.9</v>
      </c>
    </row>
    <row r="133" spans="1:2" x14ac:dyDescent="0.2">
      <c r="A133" s="728">
        <f t="shared" si="0"/>
        <v>42551</v>
      </c>
      <c r="B133" s="331">
        <v>220332.56</v>
      </c>
    </row>
    <row r="134" spans="1:2" x14ac:dyDescent="0.2">
      <c r="A134" s="728">
        <f t="shared" si="0"/>
        <v>42552</v>
      </c>
      <c r="B134" s="331">
        <v>212813.84</v>
      </c>
    </row>
    <row r="135" spans="1:2" x14ac:dyDescent="0.2">
      <c r="A135" s="728">
        <f t="shared" si="0"/>
        <v>42555</v>
      </c>
      <c r="B135" s="331">
        <v>212814</v>
      </c>
    </row>
    <row r="136" spans="1:2" x14ac:dyDescent="0.2">
      <c r="A136" s="728">
        <f t="shared" si="0"/>
        <v>42556</v>
      </c>
      <c r="B136" s="331">
        <v>236539.45</v>
      </c>
    </row>
    <row r="137" spans="1:2" x14ac:dyDescent="0.2">
      <c r="A137" s="728">
        <f t="shared" si="0"/>
        <v>42557</v>
      </c>
      <c r="B137" s="331">
        <v>234224.42</v>
      </c>
    </row>
    <row r="138" spans="1:2" x14ac:dyDescent="0.2">
      <c r="A138" s="728">
        <f t="shared" si="0"/>
        <v>42558</v>
      </c>
      <c r="B138" s="331">
        <v>234132.08</v>
      </c>
    </row>
    <row r="139" spans="1:2" x14ac:dyDescent="0.2">
      <c r="A139" s="728">
        <f t="shared" si="0"/>
        <v>42559</v>
      </c>
      <c r="B139" s="331">
        <v>234132.08</v>
      </c>
    </row>
    <row r="140" spans="1:2" x14ac:dyDescent="0.2">
      <c r="A140" s="728">
        <f t="shared" si="0"/>
        <v>42562</v>
      </c>
      <c r="B140" s="331">
        <v>199890.85</v>
      </c>
    </row>
    <row r="141" spans="1:2" x14ac:dyDescent="0.2">
      <c r="A141" s="728">
        <f t="shared" si="0"/>
        <v>42563</v>
      </c>
      <c r="B141" s="331">
        <v>221114.27</v>
      </c>
    </row>
    <row r="142" spans="1:2" x14ac:dyDescent="0.2">
      <c r="A142" s="728">
        <f t="shared" si="0"/>
        <v>42564</v>
      </c>
      <c r="B142" s="331">
        <v>221114</v>
      </c>
    </row>
    <row r="143" spans="1:2" x14ac:dyDescent="0.2">
      <c r="A143" s="728">
        <f t="shared" si="0"/>
        <v>42565</v>
      </c>
      <c r="B143" s="331">
        <v>214752.25</v>
      </c>
    </row>
    <row r="144" spans="1:2" x14ac:dyDescent="0.2">
      <c r="A144" s="728">
        <f t="shared" si="0"/>
        <v>42566</v>
      </c>
      <c r="B144" s="331">
        <v>294578.96999999997</v>
      </c>
    </row>
    <row r="145" spans="1:2" x14ac:dyDescent="0.2">
      <c r="A145" s="728">
        <f t="shared" si="0"/>
        <v>42569</v>
      </c>
      <c r="B145" s="331">
        <v>294579</v>
      </c>
    </row>
    <row r="146" spans="1:2" x14ac:dyDescent="0.2">
      <c r="A146" s="728">
        <f t="shared" si="0"/>
        <v>42570</v>
      </c>
      <c r="B146" s="331">
        <v>294579</v>
      </c>
    </row>
    <row r="147" spans="1:2" x14ac:dyDescent="0.2">
      <c r="A147" s="728">
        <f t="shared" si="0"/>
        <v>42571</v>
      </c>
      <c r="B147" s="331">
        <v>328195.42</v>
      </c>
    </row>
    <row r="148" spans="1:2" x14ac:dyDescent="0.2">
      <c r="A148" s="728">
        <f t="shared" si="0"/>
        <v>42572</v>
      </c>
      <c r="B148" s="331">
        <v>407865.86</v>
      </c>
    </row>
    <row r="149" spans="1:2" x14ac:dyDescent="0.2">
      <c r="A149" s="728">
        <f t="shared" si="0"/>
        <v>42573</v>
      </c>
      <c r="B149" s="331">
        <v>409053.93</v>
      </c>
    </row>
    <row r="150" spans="1:2" x14ac:dyDescent="0.2">
      <c r="A150" s="728">
        <f t="shared" si="0"/>
        <v>42576</v>
      </c>
      <c r="B150" s="331">
        <v>372421.56</v>
      </c>
    </row>
    <row r="151" spans="1:2" x14ac:dyDescent="0.2">
      <c r="A151" s="728">
        <f t="shared" si="0"/>
        <v>42577</v>
      </c>
      <c r="B151" s="331">
        <v>375562.78</v>
      </c>
    </row>
    <row r="152" spans="1:2" x14ac:dyDescent="0.2">
      <c r="A152" s="728">
        <f t="shared" si="0"/>
        <v>42578</v>
      </c>
      <c r="B152" s="331">
        <v>375563</v>
      </c>
    </row>
    <row r="153" spans="1:2" x14ac:dyDescent="0.2">
      <c r="A153" s="728">
        <f t="shared" si="0"/>
        <v>42579</v>
      </c>
      <c r="B153" s="331">
        <v>366510.98</v>
      </c>
    </row>
    <row r="154" spans="1:2" x14ac:dyDescent="0.2">
      <c r="A154" s="728">
        <f t="shared" si="0"/>
        <v>42580</v>
      </c>
      <c r="B154" s="331">
        <v>366609.48</v>
      </c>
    </row>
    <row r="155" spans="1:2" x14ac:dyDescent="0.2">
      <c r="A155" s="728">
        <f t="shared" si="0"/>
        <v>42583</v>
      </c>
      <c r="B155" s="331">
        <v>382689.69</v>
      </c>
    </row>
    <row r="156" spans="1:2" x14ac:dyDescent="0.2">
      <c r="A156" s="728">
        <f t="shared" si="0"/>
        <v>42584</v>
      </c>
      <c r="B156" s="331">
        <v>382690</v>
      </c>
    </row>
    <row r="157" spans="1:2" x14ac:dyDescent="0.2">
      <c r="A157" s="728">
        <f t="shared" si="0"/>
        <v>42585</v>
      </c>
      <c r="B157" s="331">
        <v>387013.59</v>
      </c>
    </row>
    <row r="158" spans="1:2" x14ac:dyDescent="0.2">
      <c r="A158" s="728">
        <f t="shared" si="0"/>
        <v>42586</v>
      </c>
      <c r="B158" s="331">
        <v>382543.7</v>
      </c>
    </row>
    <row r="159" spans="1:2" x14ac:dyDescent="0.2">
      <c r="A159" s="728">
        <f t="shared" si="0"/>
        <v>42587</v>
      </c>
      <c r="B159" s="331">
        <v>382544</v>
      </c>
    </row>
    <row r="160" spans="1:2" x14ac:dyDescent="0.2">
      <c r="A160" s="728">
        <f t="shared" si="0"/>
        <v>42590</v>
      </c>
      <c r="B160" s="331">
        <v>344510.17</v>
      </c>
    </row>
    <row r="161" spans="1:2" x14ac:dyDescent="0.2">
      <c r="A161" s="728">
        <f t="shared" si="0"/>
        <v>42591</v>
      </c>
      <c r="B161" s="331">
        <v>350095.94</v>
      </c>
    </row>
    <row r="162" spans="1:2" x14ac:dyDescent="0.2">
      <c r="A162" s="728">
        <f t="shared" si="0"/>
        <v>42592</v>
      </c>
      <c r="B162" s="331">
        <v>350096</v>
      </c>
    </row>
    <row r="163" spans="1:2" x14ac:dyDescent="0.2">
      <c r="A163" s="728">
        <f t="shared" si="0"/>
        <v>42593</v>
      </c>
      <c r="B163" s="331">
        <v>355079.15</v>
      </c>
    </row>
    <row r="164" spans="1:2" x14ac:dyDescent="0.2">
      <c r="A164" s="728">
        <f t="shared" si="0"/>
        <v>42594</v>
      </c>
      <c r="B164" s="331">
        <v>356502.11</v>
      </c>
    </row>
    <row r="165" spans="1:2" x14ac:dyDescent="0.2">
      <c r="A165" s="728">
        <f t="shared" si="0"/>
        <v>42597</v>
      </c>
      <c r="B165" s="331">
        <v>408622.46</v>
      </c>
    </row>
    <row r="166" spans="1:2" x14ac:dyDescent="0.2">
      <c r="A166" s="728">
        <f t="shared" si="0"/>
        <v>42598</v>
      </c>
      <c r="B166" s="331">
        <v>408622</v>
      </c>
    </row>
    <row r="167" spans="1:2" x14ac:dyDescent="0.2">
      <c r="A167" s="728">
        <f t="shared" si="0"/>
        <v>42599</v>
      </c>
      <c r="B167" s="331">
        <v>408622</v>
      </c>
    </row>
    <row r="168" spans="1:2" x14ac:dyDescent="0.2">
      <c r="A168" s="728">
        <f t="shared" si="0"/>
        <v>42600</v>
      </c>
      <c r="B168" s="331">
        <v>409931.67</v>
      </c>
    </row>
    <row r="169" spans="1:2" x14ac:dyDescent="0.2">
      <c r="A169" s="728">
        <f t="shared" si="0"/>
        <v>42601</v>
      </c>
      <c r="B169" s="331">
        <v>410189.3</v>
      </c>
    </row>
    <row r="170" spans="1:2" x14ac:dyDescent="0.2">
      <c r="A170" s="728">
        <f t="shared" si="0"/>
        <v>42604</v>
      </c>
      <c r="B170" s="331">
        <v>370399.56</v>
      </c>
    </row>
    <row r="171" spans="1:2" x14ac:dyDescent="0.2">
      <c r="A171" s="728">
        <f t="shared" si="0"/>
        <v>42605</v>
      </c>
      <c r="B171" s="331">
        <v>370399.56</v>
      </c>
    </row>
    <row r="172" spans="1:2" x14ac:dyDescent="0.2">
      <c r="A172" s="728">
        <f t="shared" si="0"/>
        <v>42606</v>
      </c>
      <c r="B172" s="331">
        <v>370400</v>
      </c>
    </row>
    <row r="173" spans="1:2" x14ac:dyDescent="0.2">
      <c r="A173" s="728">
        <f t="shared" si="0"/>
        <v>42607</v>
      </c>
      <c r="B173" s="331">
        <v>359591.19</v>
      </c>
    </row>
    <row r="174" spans="1:2" x14ac:dyDescent="0.2">
      <c r="A174" s="728">
        <f t="shared" si="0"/>
        <v>42608</v>
      </c>
      <c r="B174" s="331">
        <v>399163.14</v>
      </c>
    </row>
    <row r="175" spans="1:2" x14ac:dyDescent="0.2">
      <c r="A175" s="728">
        <f t="shared" si="0"/>
        <v>42611</v>
      </c>
      <c r="B175" s="331">
        <v>407196.62</v>
      </c>
    </row>
    <row r="176" spans="1:2" x14ac:dyDescent="0.2">
      <c r="A176" s="728">
        <f t="shared" si="0"/>
        <v>42612</v>
      </c>
      <c r="B176" s="331">
        <v>422526.97</v>
      </c>
    </row>
    <row r="177" spans="1:5" x14ac:dyDescent="0.2">
      <c r="A177" s="728">
        <f t="shared" si="0"/>
        <v>42613</v>
      </c>
      <c r="B177" s="331">
        <v>479216.05</v>
      </c>
    </row>
    <row r="178" spans="1:5" x14ac:dyDescent="0.2">
      <c r="A178" s="728">
        <f t="shared" si="0"/>
        <v>42614</v>
      </c>
      <c r="B178" s="331">
        <v>479216</v>
      </c>
    </row>
    <row r="179" spans="1:5" x14ac:dyDescent="0.2">
      <c r="A179" s="728">
        <f t="shared" si="0"/>
        <v>42615</v>
      </c>
      <c r="B179" s="331">
        <v>479216</v>
      </c>
    </row>
    <row r="180" spans="1:5" x14ac:dyDescent="0.2">
      <c r="A180" s="728">
        <f t="shared" si="0"/>
        <v>42618</v>
      </c>
      <c r="B180" s="331">
        <v>479216</v>
      </c>
    </row>
    <row r="181" spans="1:5" x14ac:dyDescent="0.2">
      <c r="A181" s="728">
        <f t="shared" si="0"/>
        <v>42619</v>
      </c>
      <c r="B181" s="331">
        <v>440784.82</v>
      </c>
    </row>
    <row r="182" spans="1:5" x14ac:dyDescent="0.2">
      <c r="A182" s="728">
        <f t="shared" si="0"/>
        <v>42620</v>
      </c>
      <c r="B182" s="331">
        <v>440785</v>
      </c>
      <c r="D182" s="318"/>
      <c r="E182" s="124"/>
    </row>
    <row r="183" spans="1:5" x14ac:dyDescent="0.2">
      <c r="A183" s="728">
        <f t="shared" si="0"/>
        <v>42621</v>
      </c>
      <c r="B183" s="331">
        <v>445373.31</v>
      </c>
    </row>
    <row r="184" spans="1:5" x14ac:dyDescent="0.2">
      <c r="A184" s="728">
        <f t="shared" si="0"/>
        <v>42622</v>
      </c>
      <c r="B184" s="331">
        <v>463896.46</v>
      </c>
      <c r="D184" s="318"/>
      <c r="E184" s="124"/>
    </row>
    <row r="185" spans="1:5" x14ac:dyDescent="0.2">
      <c r="A185" s="728">
        <f t="shared" si="0"/>
        <v>42625</v>
      </c>
      <c r="B185" s="331">
        <v>463296.46</v>
      </c>
      <c r="D185" s="318"/>
      <c r="E185" s="124"/>
    </row>
    <row r="186" spans="1:5" x14ac:dyDescent="0.2">
      <c r="A186" s="728">
        <f t="shared" si="0"/>
        <v>42626</v>
      </c>
      <c r="B186" s="331">
        <v>465024.54</v>
      </c>
      <c r="D186" s="318"/>
      <c r="E186" s="124"/>
    </row>
    <row r="187" spans="1:5" x14ac:dyDescent="0.2">
      <c r="A187" s="728">
        <f t="shared" si="0"/>
        <v>42627</v>
      </c>
      <c r="B187" s="331">
        <v>465025</v>
      </c>
      <c r="D187" s="318"/>
      <c r="E187" s="124"/>
    </row>
    <row r="188" spans="1:5" x14ac:dyDescent="0.2">
      <c r="A188" s="728">
        <f t="shared" si="0"/>
        <v>42628</v>
      </c>
      <c r="B188" s="331">
        <v>447444.34</v>
      </c>
      <c r="D188" s="318"/>
      <c r="E188" s="124"/>
    </row>
    <row r="189" spans="1:5" x14ac:dyDescent="0.2">
      <c r="A189" s="728">
        <f t="shared" si="0"/>
        <v>42629</v>
      </c>
      <c r="B189" s="331">
        <v>451135.42</v>
      </c>
      <c r="D189" s="318"/>
      <c r="E189" s="124"/>
    </row>
    <row r="190" spans="1:5" x14ac:dyDescent="0.2">
      <c r="A190" s="728">
        <f t="shared" si="0"/>
        <v>42632</v>
      </c>
      <c r="B190" s="331">
        <v>413924.51</v>
      </c>
      <c r="D190" s="318"/>
      <c r="E190" s="124"/>
    </row>
    <row r="191" spans="1:5" x14ac:dyDescent="0.2">
      <c r="A191" s="728">
        <f t="shared" si="0"/>
        <v>42633</v>
      </c>
      <c r="B191" s="331">
        <v>395080.96000000002</v>
      </c>
      <c r="D191" s="318"/>
      <c r="E191" s="124"/>
    </row>
    <row r="192" spans="1:5" x14ac:dyDescent="0.2">
      <c r="A192" s="728">
        <f t="shared" si="0"/>
        <v>42634</v>
      </c>
      <c r="B192" s="331">
        <v>393852.1</v>
      </c>
      <c r="D192" s="318"/>
      <c r="E192" s="124"/>
    </row>
    <row r="193" spans="1:5" x14ac:dyDescent="0.2">
      <c r="A193" s="728">
        <f t="shared" si="0"/>
        <v>42635</v>
      </c>
      <c r="B193" s="331">
        <v>397757.18</v>
      </c>
      <c r="D193" s="318"/>
      <c r="E193" s="124"/>
    </row>
    <row r="194" spans="1:5" x14ac:dyDescent="0.2">
      <c r="A194" s="728">
        <f t="shared" si="0"/>
        <v>42636</v>
      </c>
      <c r="B194" s="331">
        <v>397757</v>
      </c>
      <c r="D194" s="318"/>
      <c r="E194" s="124"/>
    </row>
    <row r="195" spans="1:5" x14ac:dyDescent="0.2">
      <c r="A195" s="728">
        <f t="shared" si="0"/>
        <v>42639</v>
      </c>
      <c r="B195" s="331">
        <v>397757</v>
      </c>
      <c r="D195" s="318"/>
      <c r="E195" s="124"/>
    </row>
    <row r="196" spans="1:5" x14ac:dyDescent="0.2">
      <c r="A196" s="728">
        <f t="shared" ref="A196:A259" si="1">A191+7</f>
        <v>42640</v>
      </c>
      <c r="B196" s="331">
        <v>403105.59</v>
      </c>
      <c r="D196" s="318"/>
      <c r="E196" s="124"/>
    </row>
    <row r="197" spans="1:5" x14ac:dyDescent="0.2">
      <c r="A197" s="728">
        <f t="shared" si="1"/>
        <v>42641</v>
      </c>
      <c r="B197" s="331">
        <v>394170.51</v>
      </c>
      <c r="D197" s="318"/>
      <c r="E197" s="124"/>
    </row>
    <row r="198" spans="1:5" x14ac:dyDescent="0.2">
      <c r="A198" s="728">
        <f t="shared" si="1"/>
        <v>42642</v>
      </c>
      <c r="B198" s="331">
        <v>397917.56</v>
      </c>
      <c r="D198" s="318"/>
      <c r="E198" s="124"/>
    </row>
    <row r="199" spans="1:5" x14ac:dyDescent="0.2">
      <c r="A199" s="728">
        <f t="shared" si="1"/>
        <v>42643</v>
      </c>
      <c r="B199" s="331">
        <v>397918</v>
      </c>
      <c r="D199" s="318"/>
      <c r="E199" s="124"/>
    </row>
    <row r="200" spans="1:5" x14ac:dyDescent="0.2">
      <c r="A200" s="728">
        <f t="shared" si="1"/>
        <v>42646</v>
      </c>
      <c r="B200" s="331">
        <v>361701.8</v>
      </c>
      <c r="D200" s="318"/>
      <c r="E200" s="124"/>
    </row>
    <row r="201" spans="1:5" x14ac:dyDescent="0.2">
      <c r="A201" s="728">
        <f t="shared" si="1"/>
        <v>42647</v>
      </c>
      <c r="B201" s="331">
        <v>362031.95</v>
      </c>
      <c r="D201" s="318"/>
      <c r="E201" s="124"/>
    </row>
    <row r="202" spans="1:5" x14ac:dyDescent="0.2">
      <c r="A202" s="728">
        <f t="shared" si="1"/>
        <v>42648</v>
      </c>
      <c r="B202" s="331">
        <v>362032</v>
      </c>
    </row>
    <row r="203" spans="1:5" x14ac:dyDescent="0.2">
      <c r="A203" s="728">
        <f t="shared" si="1"/>
        <v>42649</v>
      </c>
      <c r="B203" s="331">
        <v>360433.13</v>
      </c>
    </row>
    <row r="204" spans="1:5" x14ac:dyDescent="0.2">
      <c r="A204" s="728">
        <f t="shared" si="1"/>
        <v>42650</v>
      </c>
      <c r="B204" s="331">
        <v>361754.66</v>
      </c>
    </row>
    <row r="205" spans="1:5" x14ac:dyDescent="0.2">
      <c r="A205" s="728">
        <f t="shared" si="1"/>
        <v>42653</v>
      </c>
      <c r="B205" s="331">
        <v>361755</v>
      </c>
    </row>
    <row r="206" spans="1:5" x14ac:dyDescent="0.2">
      <c r="A206" s="728">
        <f t="shared" si="1"/>
        <v>42654</v>
      </c>
      <c r="B206" s="331">
        <v>361755</v>
      </c>
    </row>
    <row r="207" spans="1:5" x14ac:dyDescent="0.2">
      <c r="A207" s="728">
        <f t="shared" si="1"/>
        <v>42655</v>
      </c>
      <c r="B207" s="331">
        <v>365429.62</v>
      </c>
    </row>
    <row r="208" spans="1:5" x14ac:dyDescent="0.2">
      <c r="A208" s="728">
        <f t="shared" si="1"/>
        <v>42656</v>
      </c>
      <c r="B208" s="331">
        <v>375400.83</v>
      </c>
    </row>
    <row r="209" spans="1:2" x14ac:dyDescent="0.2">
      <c r="A209" s="728">
        <f t="shared" si="1"/>
        <v>42657</v>
      </c>
      <c r="B209" s="331">
        <v>375484.03</v>
      </c>
    </row>
    <row r="210" spans="1:2" x14ac:dyDescent="0.2">
      <c r="A210" s="728">
        <f t="shared" si="1"/>
        <v>42660</v>
      </c>
      <c r="B210" s="331">
        <v>339702.96</v>
      </c>
    </row>
    <row r="211" spans="1:2" x14ac:dyDescent="0.2">
      <c r="A211" s="728">
        <f t="shared" si="1"/>
        <v>42661</v>
      </c>
      <c r="B211" s="331">
        <v>343741.39</v>
      </c>
    </row>
    <row r="212" spans="1:2" x14ac:dyDescent="0.2">
      <c r="A212" s="728">
        <f t="shared" si="1"/>
        <v>42662</v>
      </c>
      <c r="B212" s="331">
        <v>343741</v>
      </c>
    </row>
    <row r="213" spans="1:2" x14ac:dyDescent="0.2">
      <c r="A213" s="728">
        <f t="shared" si="1"/>
        <v>42663</v>
      </c>
      <c r="B213" s="331">
        <v>332267.31</v>
      </c>
    </row>
    <row r="214" spans="1:2" x14ac:dyDescent="0.2">
      <c r="A214" s="728">
        <f t="shared" si="1"/>
        <v>42664</v>
      </c>
      <c r="B214" s="331">
        <v>332482.06</v>
      </c>
    </row>
    <row r="215" spans="1:2" x14ac:dyDescent="0.2">
      <c r="A215" s="728">
        <f t="shared" si="1"/>
        <v>42667</v>
      </c>
      <c r="B215" s="331">
        <v>332482</v>
      </c>
    </row>
    <row r="216" spans="1:2" x14ac:dyDescent="0.2">
      <c r="A216" s="728">
        <f t="shared" si="1"/>
        <v>42668</v>
      </c>
      <c r="B216" s="331">
        <v>337085.39</v>
      </c>
    </row>
    <row r="217" spans="1:2" x14ac:dyDescent="0.2">
      <c r="A217" s="728">
        <f t="shared" si="1"/>
        <v>42669</v>
      </c>
      <c r="B217" s="331">
        <v>337085</v>
      </c>
    </row>
    <row r="218" spans="1:2" x14ac:dyDescent="0.2">
      <c r="A218" s="728">
        <f t="shared" si="1"/>
        <v>42670</v>
      </c>
      <c r="B218" s="331">
        <v>333113.26</v>
      </c>
    </row>
    <row r="219" spans="1:2" x14ac:dyDescent="0.2">
      <c r="A219" s="728">
        <f t="shared" si="1"/>
        <v>42671</v>
      </c>
      <c r="B219" s="331">
        <v>360993.03</v>
      </c>
    </row>
    <row r="220" spans="1:2" x14ac:dyDescent="0.2">
      <c r="A220" s="728">
        <f t="shared" si="1"/>
        <v>42674</v>
      </c>
      <c r="B220" s="331">
        <v>350567.25</v>
      </c>
    </row>
    <row r="221" spans="1:2" x14ac:dyDescent="0.2">
      <c r="A221" s="728">
        <f t="shared" si="1"/>
        <v>42675</v>
      </c>
      <c r="B221" s="331">
        <v>350939.21</v>
      </c>
    </row>
    <row r="222" spans="1:2" x14ac:dyDescent="0.2">
      <c r="A222" s="728">
        <f t="shared" si="1"/>
        <v>42676</v>
      </c>
      <c r="B222" s="331">
        <v>350939</v>
      </c>
    </row>
    <row r="223" spans="1:2" x14ac:dyDescent="0.2">
      <c r="A223" s="728">
        <f t="shared" si="1"/>
        <v>42677</v>
      </c>
      <c r="B223" s="331">
        <v>344148.64</v>
      </c>
    </row>
    <row r="224" spans="1:2" x14ac:dyDescent="0.2">
      <c r="A224" s="728">
        <f t="shared" si="1"/>
        <v>42678</v>
      </c>
      <c r="B224" s="331">
        <v>399084.27</v>
      </c>
    </row>
    <row r="225" spans="1:2" x14ac:dyDescent="0.2">
      <c r="A225" s="728">
        <f t="shared" si="1"/>
        <v>42681</v>
      </c>
      <c r="B225" s="331">
        <v>399084</v>
      </c>
    </row>
    <row r="226" spans="1:2" x14ac:dyDescent="0.2">
      <c r="A226" s="728">
        <f t="shared" si="1"/>
        <v>42682</v>
      </c>
      <c r="B226" s="331">
        <v>403667.29</v>
      </c>
    </row>
    <row r="227" spans="1:2" x14ac:dyDescent="0.2">
      <c r="A227" s="728">
        <f t="shared" si="1"/>
        <v>42683</v>
      </c>
      <c r="B227" s="331">
        <v>403667</v>
      </c>
    </row>
    <row r="228" spans="1:2" x14ac:dyDescent="0.2">
      <c r="A228" s="728">
        <f t="shared" si="1"/>
        <v>42684</v>
      </c>
      <c r="B228" s="331">
        <v>383477.25</v>
      </c>
    </row>
    <row r="229" spans="1:2" x14ac:dyDescent="0.2">
      <c r="A229" s="728">
        <f t="shared" si="1"/>
        <v>42685</v>
      </c>
      <c r="B229" s="331">
        <v>383477</v>
      </c>
    </row>
    <row r="230" spans="1:2" x14ac:dyDescent="0.2">
      <c r="A230" s="728">
        <f t="shared" si="1"/>
        <v>42688</v>
      </c>
      <c r="B230" s="331">
        <v>347717.6</v>
      </c>
    </row>
    <row r="231" spans="1:2" x14ac:dyDescent="0.2">
      <c r="A231" s="728">
        <f t="shared" si="1"/>
        <v>42689</v>
      </c>
      <c r="B231" s="331">
        <v>347836.75</v>
      </c>
    </row>
    <row r="232" spans="1:2" x14ac:dyDescent="0.2">
      <c r="A232" s="728">
        <f t="shared" si="1"/>
        <v>42690</v>
      </c>
      <c r="B232" s="331">
        <v>347836.75</v>
      </c>
    </row>
    <row r="233" spans="1:2" x14ac:dyDescent="0.2">
      <c r="A233" s="728">
        <f t="shared" si="1"/>
        <v>42691</v>
      </c>
      <c r="B233" s="331">
        <v>350935.56</v>
      </c>
    </row>
    <row r="234" spans="1:2" x14ac:dyDescent="0.2">
      <c r="A234" s="728">
        <f t="shared" si="1"/>
        <v>42692</v>
      </c>
      <c r="B234" s="331">
        <v>350936</v>
      </c>
    </row>
    <row r="235" spans="1:2" x14ac:dyDescent="0.2">
      <c r="A235" s="728">
        <f t="shared" si="1"/>
        <v>42695</v>
      </c>
      <c r="B235" s="331">
        <v>350936</v>
      </c>
    </row>
    <row r="236" spans="1:2" x14ac:dyDescent="0.2">
      <c r="A236" s="728">
        <f t="shared" si="1"/>
        <v>42696</v>
      </c>
      <c r="B236" s="331">
        <v>351588.06</v>
      </c>
    </row>
    <row r="237" spans="1:2" x14ac:dyDescent="0.2">
      <c r="A237" s="728">
        <f t="shared" si="1"/>
        <v>42697</v>
      </c>
      <c r="B237" s="331">
        <v>349477.96</v>
      </c>
    </row>
    <row r="238" spans="1:2" x14ac:dyDescent="0.2">
      <c r="A238" s="728">
        <f t="shared" si="1"/>
        <v>42698</v>
      </c>
      <c r="B238" s="331">
        <v>349478</v>
      </c>
    </row>
    <row r="239" spans="1:2" x14ac:dyDescent="0.2">
      <c r="A239" s="728">
        <f t="shared" si="1"/>
        <v>42699</v>
      </c>
      <c r="B239" s="331">
        <v>368170.66</v>
      </c>
    </row>
    <row r="240" spans="1:2" x14ac:dyDescent="0.2">
      <c r="A240" s="728">
        <f t="shared" si="1"/>
        <v>42702</v>
      </c>
      <c r="B240" s="331">
        <v>368170.66</v>
      </c>
    </row>
    <row r="241" spans="1:2" x14ac:dyDescent="0.2">
      <c r="A241" s="728">
        <f t="shared" si="1"/>
        <v>42703</v>
      </c>
      <c r="B241" s="331">
        <v>328902.64</v>
      </c>
    </row>
    <row r="242" spans="1:2" x14ac:dyDescent="0.2">
      <c r="A242" s="728">
        <f t="shared" si="1"/>
        <v>42704</v>
      </c>
      <c r="B242" s="331">
        <v>338455.85</v>
      </c>
    </row>
    <row r="243" spans="1:2" x14ac:dyDescent="0.2">
      <c r="A243" s="728">
        <f t="shared" si="1"/>
        <v>42705</v>
      </c>
      <c r="B243" s="331">
        <v>336997.18</v>
      </c>
    </row>
    <row r="244" spans="1:2" x14ac:dyDescent="0.2">
      <c r="A244" s="728">
        <f t="shared" si="1"/>
        <v>42706</v>
      </c>
      <c r="B244" s="331">
        <v>342825.59</v>
      </c>
    </row>
    <row r="245" spans="1:2" x14ac:dyDescent="0.2">
      <c r="A245" s="728">
        <f t="shared" si="1"/>
        <v>42709</v>
      </c>
      <c r="B245" s="331">
        <v>342826</v>
      </c>
    </row>
    <row r="246" spans="1:2" x14ac:dyDescent="0.2">
      <c r="A246" s="728">
        <f t="shared" si="1"/>
        <v>42710</v>
      </c>
      <c r="B246" s="331">
        <v>344457.81</v>
      </c>
    </row>
    <row r="247" spans="1:2" x14ac:dyDescent="0.2">
      <c r="A247" s="728">
        <f t="shared" si="1"/>
        <v>42711</v>
      </c>
      <c r="B247" s="331">
        <v>366772.64</v>
      </c>
    </row>
    <row r="248" spans="1:2" x14ac:dyDescent="0.2">
      <c r="A248" s="728">
        <f t="shared" si="1"/>
        <v>42712</v>
      </c>
      <c r="B248" s="331">
        <v>366772.6</v>
      </c>
    </row>
    <row r="249" spans="1:2" x14ac:dyDescent="0.2">
      <c r="A249" s="728">
        <f t="shared" si="1"/>
        <v>42713</v>
      </c>
      <c r="B249" s="331">
        <v>366773</v>
      </c>
    </row>
    <row r="250" spans="1:2" x14ac:dyDescent="0.2">
      <c r="A250" s="728">
        <f t="shared" si="1"/>
        <v>42716</v>
      </c>
      <c r="B250" s="331">
        <v>366773</v>
      </c>
    </row>
    <row r="251" spans="1:2" x14ac:dyDescent="0.2">
      <c r="A251" s="728">
        <f t="shared" si="1"/>
        <v>42717</v>
      </c>
      <c r="B251" s="331">
        <v>346535.44</v>
      </c>
    </row>
    <row r="252" spans="1:2" x14ac:dyDescent="0.2">
      <c r="A252" s="728">
        <f t="shared" si="1"/>
        <v>42718</v>
      </c>
      <c r="B252" s="331">
        <v>346535</v>
      </c>
    </row>
    <row r="253" spans="1:2" x14ac:dyDescent="0.2">
      <c r="A253" s="728">
        <f t="shared" si="1"/>
        <v>42719</v>
      </c>
      <c r="B253" s="331">
        <v>335522.11</v>
      </c>
    </row>
    <row r="254" spans="1:2" x14ac:dyDescent="0.2">
      <c r="A254" s="728">
        <f t="shared" si="1"/>
        <v>42720</v>
      </c>
      <c r="B254" s="331">
        <v>335675.99</v>
      </c>
    </row>
    <row r="255" spans="1:2" x14ac:dyDescent="0.2">
      <c r="A255" s="728">
        <f t="shared" si="1"/>
        <v>42723</v>
      </c>
      <c r="B255" s="331">
        <v>357268.43</v>
      </c>
    </row>
    <row r="256" spans="1:2" x14ac:dyDescent="0.2">
      <c r="A256" s="728">
        <f t="shared" si="1"/>
        <v>42724</v>
      </c>
      <c r="B256" s="331">
        <v>357268</v>
      </c>
    </row>
    <row r="257" spans="1:2" x14ac:dyDescent="0.2">
      <c r="A257" s="728">
        <f t="shared" si="1"/>
        <v>42725</v>
      </c>
      <c r="B257" s="331">
        <v>366192.91</v>
      </c>
    </row>
    <row r="258" spans="1:2" x14ac:dyDescent="0.2">
      <c r="A258" s="728">
        <f t="shared" si="1"/>
        <v>42726</v>
      </c>
      <c r="B258" s="331">
        <v>377001.67</v>
      </c>
    </row>
    <row r="259" spans="1:2" x14ac:dyDescent="0.2">
      <c r="A259" s="728">
        <f t="shared" si="1"/>
        <v>42727</v>
      </c>
      <c r="B259" s="331">
        <v>377329.67</v>
      </c>
    </row>
    <row r="260" spans="1:2" x14ac:dyDescent="0.2">
      <c r="A260" s="728">
        <f t="shared" ref="A260:A264" si="2">A255+7</f>
        <v>42730</v>
      </c>
      <c r="B260" s="331">
        <v>377330</v>
      </c>
    </row>
    <row r="261" spans="1:2" x14ac:dyDescent="0.2">
      <c r="A261" s="728">
        <f t="shared" si="2"/>
        <v>42731</v>
      </c>
      <c r="B261" s="331">
        <v>339782.53</v>
      </c>
    </row>
    <row r="262" spans="1:2" x14ac:dyDescent="0.2">
      <c r="A262" s="728">
        <f t="shared" si="2"/>
        <v>42732</v>
      </c>
      <c r="B262" s="331">
        <v>339783</v>
      </c>
    </row>
    <row r="263" spans="1:2" x14ac:dyDescent="0.2">
      <c r="A263" s="728">
        <f t="shared" si="2"/>
        <v>42733</v>
      </c>
      <c r="B263" s="331">
        <v>337987.77</v>
      </c>
    </row>
    <row r="264" spans="1:2" x14ac:dyDescent="0.2">
      <c r="A264" s="728">
        <f t="shared" si="2"/>
        <v>42734</v>
      </c>
      <c r="B264" s="331">
        <v>354814.33</v>
      </c>
    </row>
    <row r="265" spans="1:2" x14ac:dyDescent="0.2">
      <c r="A265" s="728">
        <v>42737</v>
      </c>
      <c r="B265" s="342">
        <v>354814</v>
      </c>
    </row>
    <row r="266" spans="1:2" x14ac:dyDescent="0.2">
      <c r="A266" s="728">
        <v>42738</v>
      </c>
      <c r="B266" s="342">
        <v>361866.86</v>
      </c>
    </row>
    <row r="267" spans="1:2" x14ac:dyDescent="0.2">
      <c r="A267" s="728">
        <v>42739</v>
      </c>
      <c r="B267" s="342">
        <v>363519.32</v>
      </c>
    </row>
    <row r="268" spans="1:2" x14ac:dyDescent="0.2">
      <c r="A268" s="728">
        <v>42740</v>
      </c>
      <c r="B268" s="342">
        <v>361866.66</v>
      </c>
    </row>
    <row r="269" spans="1:2" x14ac:dyDescent="0.2">
      <c r="A269" s="728">
        <v>42741</v>
      </c>
      <c r="B269" s="342">
        <v>363519</v>
      </c>
    </row>
    <row r="270" spans="1:2" x14ac:dyDescent="0.2">
      <c r="A270" s="728">
        <v>42744</v>
      </c>
      <c r="B270" s="342">
        <v>363543.47</v>
      </c>
    </row>
    <row r="271" spans="1:2" x14ac:dyDescent="0.2">
      <c r="A271" s="728">
        <v>42745</v>
      </c>
      <c r="B271" s="342">
        <v>328707.83</v>
      </c>
    </row>
    <row r="272" spans="1:2" x14ac:dyDescent="0.2">
      <c r="A272" s="728">
        <v>42746</v>
      </c>
      <c r="B272" s="342">
        <v>328708</v>
      </c>
    </row>
    <row r="273" spans="1:2" x14ac:dyDescent="0.2">
      <c r="A273" s="728">
        <v>42747</v>
      </c>
      <c r="B273" s="342">
        <v>321086.01</v>
      </c>
    </row>
    <row r="274" spans="1:2" x14ac:dyDescent="0.2">
      <c r="A274" s="728">
        <v>42748</v>
      </c>
      <c r="B274" s="342">
        <v>334097.28000000003</v>
      </c>
    </row>
    <row r="275" spans="1:2" x14ac:dyDescent="0.2">
      <c r="A275" s="728">
        <v>42751</v>
      </c>
      <c r="B275" s="342">
        <v>334097</v>
      </c>
    </row>
    <row r="276" spans="1:2" x14ac:dyDescent="0.2">
      <c r="A276" s="728">
        <v>42752</v>
      </c>
      <c r="B276" s="342">
        <v>268850.96000000002</v>
      </c>
    </row>
    <row r="277" spans="1:2" x14ac:dyDescent="0.2">
      <c r="A277" s="728">
        <v>42753</v>
      </c>
      <c r="B277" s="342">
        <v>268851</v>
      </c>
    </row>
    <row r="278" spans="1:2" x14ac:dyDescent="0.2">
      <c r="A278" s="728">
        <v>42754</v>
      </c>
      <c r="B278" s="342">
        <v>269075.21000000002</v>
      </c>
    </row>
    <row r="279" spans="1:2" x14ac:dyDescent="0.2">
      <c r="A279" s="728">
        <v>42755</v>
      </c>
      <c r="B279" s="342">
        <v>270983.21000000002</v>
      </c>
    </row>
    <row r="280" spans="1:2" x14ac:dyDescent="0.2">
      <c r="A280" s="728">
        <v>42758</v>
      </c>
      <c r="B280" s="342">
        <v>270983</v>
      </c>
    </row>
    <row r="281" spans="1:2" x14ac:dyDescent="0.2">
      <c r="A281" s="728">
        <v>42759</v>
      </c>
      <c r="B281" s="342">
        <v>270723.98</v>
      </c>
    </row>
    <row r="282" spans="1:2" x14ac:dyDescent="0.2">
      <c r="A282" s="728">
        <v>42760</v>
      </c>
      <c r="B282" s="342">
        <v>281353.09999999998</v>
      </c>
    </row>
    <row r="283" spans="1:2" x14ac:dyDescent="0.2">
      <c r="A283" s="728">
        <v>42761</v>
      </c>
      <c r="B283" s="342">
        <v>274313.84999999998</v>
      </c>
    </row>
    <row r="284" spans="1:2" x14ac:dyDescent="0.2">
      <c r="A284" s="728">
        <v>42762</v>
      </c>
      <c r="B284" s="342">
        <v>296447.59999999998</v>
      </c>
    </row>
    <row r="285" spans="1:2" x14ac:dyDescent="0.2">
      <c r="A285" s="728">
        <v>42765</v>
      </c>
      <c r="B285" s="342">
        <v>295107.96000000002</v>
      </c>
    </row>
    <row r="286" spans="1:2" x14ac:dyDescent="0.2">
      <c r="A286" s="728">
        <v>42766</v>
      </c>
      <c r="B286" s="342">
        <v>314030.53000000003</v>
      </c>
    </row>
    <row r="287" spans="1:2" x14ac:dyDescent="0.2">
      <c r="A287" s="728">
        <v>42767</v>
      </c>
      <c r="B287" s="342">
        <v>314031</v>
      </c>
    </row>
    <row r="288" spans="1:2" x14ac:dyDescent="0.2">
      <c r="A288" s="728">
        <v>42768</v>
      </c>
      <c r="B288" s="342">
        <v>312808.53999999998</v>
      </c>
    </row>
    <row r="289" spans="1:2" x14ac:dyDescent="0.2">
      <c r="A289" s="728">
        <v>42769</v>
      </c>
      <c r="B289" s="342">
        <v>316461.53999999998</v>
      </c>
    </row>
    <row r="290" spans="1:2" x14ac:dyDescent="0.2">
      <c r="A290" s="728">
        <v>42772</v>
      </c>
      <c r="B290" s="342">
        <v>316462</v>
      </c>
    </row>
    <row r="291" spans="1:2" x14ac:dyDescent="0.2">
      <c r="A291" s="728">
        <v>42773</v>
      </c>
      <c r="B291" s="342">
        <v>289560.21999999997</v>
      </c>
    </row>
    <row r="292" spans="1:2" x14ac:dyDescent="0.2">
      <c r="A292" s="728">
        <v>42774</v>
      </c>
      <c r="B292" s="342">
        <v>297310.21999999997</v>
      </c>
    </row>
    <row r="293" spans="1:2" x14ac:dyDescent="0.2">
      <c r="A293" s="728">
        <v>42775</v>
      </c>
      <c r="B293" s="342">
        <v>352433.91</v>
      </c>
    </row>
    <row r="294" spans="1:2" x14ac:dyDescent="0.2">
      <c r="A294" s="728">
        <v>42776</v>
      </c>
      <c r="B294" s="342">
        <v>352434</v>
      </c>
    </row>
    <row r="295" spans="1:2" x14ac:dyDescent="0.2">
      <c r="A295" s="728">
        <v>42779</v>
      </c>
      <c r="B295" s="342">
        <v>352434</v>
      </c>
    </row>
    <row r="296" spans="1:2" x14ac:dyDescent="0.2">
      <c r="A296" s="728">
        <v>42780</v>
      </c>
      <c r="B296" s="342">
        <v>352434</v>
      </c>
    </row>
    <row r="297" spans="1:2" x14ac:dyDescent="0.2">
      <c r="A297" s="728">
        <v>42781</v>
      </c>
      <c r="B297" s="342">
        <v>352542.46</v>
      </c>
    </row>
    <row r="298" spans="1:2" x14ac:dyDescent="0.2">
      <c r="A298" s="728">
        <v>42782</v>
      </c>
      <c r="B298" s="342">
        <v>383231.99</v>
      </c>
    </row>
    <row r="299" spans="1:2" x14ac:dyDescent="0.2">
      <c r="A299" s="728">
        <v>42783</v>
      </c>
      <c r="B299" s="363">
        <v>404679.36</v>
      </c>
    </row>
    <row r="300" spans="1:2" x14ac:dyDescent="0.2">
      <c r="A300" s="728">
        <v>42785</v>
      </c>
      <c r="B300" s="342">
        <v>404679</v>
      </c>
    </row>
    <row r="301" spans="1:2" x14ac:dyDescent="0.2">
      <c r="A301" s="728">
        <v>42787</v>
      </c>
      <c r="B301" s="342">
        <v>368703.72</v>
      </c>
    </row>
    <row r="302" spans="1:2" x14ac:dyDescent="0.2">
      <c r="A302" s="728">
        <v>42788</v>
      </c>
      <c r="B302" s="342">
        <v>368203.72</v>
      </c>
    </row>
    <row r="303" spans="1:2" x14ac:dyDescent="0.2">
      <c r="A303" s="728">
        <v>42789</v>
      </c>
      <c r="B303" s="342">
        <v>349211.92</v>
      </c>
    </row>
    <row r="304" spans="1:2" x14ac:dyDescent="0.2">
      <c r="A304" s="728">
        <v>42790</v>
      </c>
      <c r="B304" s="342">
        <v>384176.45</v>
      </c>
    </row>
    <row r="305" spans="1:2" x14ac:dyDescent="0.2">
      <c r="A305" s="728">
        <v>42793</v>
      </c>
      <c r="B305" s="342">
        <v>384176</v>
      </c>
    </row>
    <row r="306" spans="1:2" x14ac:dyDescent="0.2">
      <c r="A306" s="728">
        <v>42794</v>
      </c>
      <c r="B306" s="342">
        <v>384176</v>
      </c>
    </row>
    <row r="307" spans="1:2" x14ac:dyDescent="0.2">
      <c r="A307" s="728">
        <v>42795</v>
      </c>
      <c r="B307" s="342">
        <v>384176</v>
      </c>
    </row>
    <row r="308" spans="1:2" x14ac:dyDescent="0.2">
      <c r="A308" s="728">
        <v>42796</v>
      </c>
      <c r="B308" s="342">
        <v>395396.43</v>
      </c>
    </row>
    <row r="309" spans="1:2" x14ac:dyDescent="0.2">
      <c r="A309" s="728">
        <v>42797</v>
      </c>
      <c r="B309" s="342">
        <v>395396</v>
      </c>
    </row>
    <row r="310" spans="1:2" x14ac:dyDescent="0.2">
      <c r="A310" s="728">
        <v>42800</v>
      </c>
      <c r="B310" s="342">
        <v>395396</v>
      </c>
    </row>
    <row r="311" spans="1:2" x14ac:dyDescent="0.2">
      <c r="A311" s="728">
        <v>42801</v>
      </c>
      <c r="B311" s="342">
        <v>361856.47</v>
      </c>
    </row>
    <row r="312" spans="1:2" x14ac:dyDescent="0.2">
      <c r="A312" s="728">
        <v>42802</v>
      </c>
      <c r="B312" s="342">
        <v>361856</v>
      </c>
    </row>
    <row r="313" spans="1:2" x14ac:dyDescent="0.2">
      <c r="A313" s="728">
        <v>42803</v>
      </c>
      <c r="B313" s="342">
        <v>349877.16</v>
      </c>
    </row>
    <row r="314" spans="1:2" x14ac:dyDescent="0.2">
      <c r="A314" s="728">
        <v>42804</v>
      </c>
      <c r="B314" s="342">
        <v>359297.81</v>
      </c>
    </row>
    <row r="315" spans="1:2" x14ac:dyDescent="0.2">
      <c r="A315" s="728">
        <v>42807</v>
      </c>
      <c r="B315" s="342">
        <v>361678.91</v>
      </c>
    </row>
    <row r="316" spans="1:2" x14ac:dyDescent="0.2">
      <c r="A316" s="728">
        <v>42808</v>
      </c>
      <c r="B316" s="342">
        <v>361679</v>
      </c>
    </row>
    <row r="317" spans="1:2" x14ac:dyDescent="0.2">
      <c r="A317" s="728">
        <v>42809</v>
      </c>
      <c r="B317" s="342">
        <v>370843.37</v>
      </c>
    </row>
    <row r="318" spans="1:2" x14ac:dyDescent="0.2">
      <c r="A318" s="728">
        <v>42810</v>
      </c>
      <c r="B318" s="342">
        <v>377566.07</v>
      </c>
    </row>
    <row r="319" spans="1:2" x14ac:dyDescent="0.2">
      <c r="A319" s="728">
        <v>42811</v>
      </c>
      <c r="B319" s="342">
        <v>370373.97</v>
      </c>
    </row>
    <row r="320" spans="1:2" x14ac:dyDescent="0.2">
      <c r="A320" s="728">
        <v>42814</v>
      </c>
      <c r="B320" s="342">
        <v>338340.3</v>
      </c>
    </row>
    <row r="321" spans="1:2" x14ac:dyDescent="0.2">
      <c r="A321" s="728">
        <v>42815</v>
      </c>
      <c r="B321" s="342">
        <v>338340</v>
      </c>
    </row>
    <row r="322" spans="1:2" x14ac:dyDescent="0.2">
      <c r="A322" s="728">
        <v>42816</v>
      </c>
      <c r="B322" s="342">
        <v>338340</v>
      </c>
    </row>
    <row r="323" spans="1:2" x14ac:dyDescent="0.2">
      <c r="A323" s="728">
        <v>42817</v>
      </c>
      <c r="B323" s="342">
        <f>25944.71+322493.66</f>
        <v>348438.37</v>
      </c>
    </row>
    <row r="324" spans="1:2" x14ac:dyDescent="0.2">
      <c r="A324" s="728">
        <v>42818</v>
      </c>
      <c r="B324" s="342">
        <v>348438</v>
      </c>
    </row>
    <row r="325" spans="1:2" x14ac:dyDescent="0.2">
      <c r="A325" s="728">
        <v>42821</v>
      </c>
      <c r="B325" s="342">
        <v>348360.51</v>
      </c>
    </row>
    <row r="326" spans="1:2" x14ac:dyDescent="0.2">
      <c r="A326" s="728">
        <v>42822</v>
      </c>
      <c r="B326" s="331">
        <v>348440.48</v>
      </c>
    </row>
    <row r="327" spans="1:2" x14ac:dyDescent="0.2">
      <c r="A327" s="728">
        <v>42823</v>
      </c>
      <c r="B327" s="331">
        <v>348440</v>
      </c>
    </row>
    <row r="328" spans="1:2" x14ac:dyDescent="0.2">
      <c r="A328" s="728">
        <v>42824</v>
      </c>
      <c r="B328" s="331">
        <v>350305.92</v>
      </c>
    </row>
    <row r="329" spans="1:2" x14ac:dyDescent="0.2">
      <c r="A329" s="728">
        <v>42825</v>
      </c>
      <c r="B329" s="331">
        <v>350306</v>
      </c>
    </row>
    <row r="330" spans="1:2" x14ac:dyDescent="0.2">
      <c r="A330" s="728">
        <v>42828</v>
      </c>
      <c r="B330" s="331">
        <v>350306</v>
      </c>
    </row>
    <row r="331" spans="1:2" x14ac:dyDescent="0.2">
      <c r="A331" s="728">
        <v>42829</v>
      </c>
      <c r="B331" s="331">
        <v>320389.65000000002</v>
      </c>
    </row>
    <row r="332" spans="1:2" x14ac:dyDescent="0.2">
      <c r="A332" s="728">
        <v>42830</v>
      </c>
      <c r="B332" s="331">
        <v>320390</v>
      </c>
    </row>
    <row r="333" spans="1:2" x14ac:dyDescent="0.2">
      <c r="A333" s="728">
        <v>42831</v>
      </c>
      <c r="B333" s="331">
        <v>313344</v>
      </c>
    </row>
    <row r="334" spans="1:2" x14ac:dyDescent="0.2">
      <c r="A334" s="728">
        <v>42832</v>
      </c>
      <c r="B334" s="331">
        <v>313344</v>
      </c>
    </row>
    <row r="335" spans="1:2" x14ac:dyDescent="0.2">
      <c r="A335" s="728">
        <v>42835</v>
      </c>
      <c r="B335" s="331">
        <v>306132.78000000003</v>
      </c>
    </row>
    <row r="336" spans="1:2" x14ac:dyDescent="0.2">
      <c r="A336" s="728">
        <v>42836</v>
      </c>
      <c r="B336" s="331">
        <v>286047.34999999998</v>
      </c>
    </row>
    <row r="337" spans="1:2" x14ac:dyDescent="0.2">
      <c r="A337" s="728">
        <v>42837</v>
      </c>
      <c r="B337" s="331">
        <v>286047</v>
      </c>
    </row>
    <row r="338" spans="1:2" x14ac:dyDescent="0.2">
      <c r="A338" s="728">
        <v>42838</v>
      </c>
      <c r="B338" s="331">
        <v>272128.99</v>
      </c>
    </row>
    <row r="339" spans="1:2" x14ac:dyDescent="0.2">
      <c r="A339" s="728">
        <v>42839</v>
      </c>
      <c r="B339" s="331">
        <v>272229.71000000002</v>
      </c>
    </row>
    <row r="340" spans="1:2" x14ac:dyDescent="0.2">
      <c r="A340" s="728">
        <v>42842</v>
      </c>
      <c r="B340" s="331">
        <v>236683.56</v>
      </c>
    </row>
    <row r="341" spans="1:2" x14ac:dyDescent="0.2">
      <c r="A341" s="728">
        <v>42843</v>
      </c>
      <c r="B341" s="331">
        <v>244114.64</v>
      </c>
    </row>
    <row r="342" spans="1:2" x14ac:dyDescent="0.2">
      <c r="A342" s="728">
        <v>42844</v>
      </c>
      <c r="B342" s="331">
        <v>244115</v>
      </c>
    </row>
    <row r="343" spans="1:2" x14ac:dyDescent="0.2">
      <c r="A343" s="728">
        <v>42845</v>
      </c>
      <c r="B343" s="331">
        <v>241798.76</v>
      </c>
    </row>
    <row r="344" spans="1:2" x14ac:dyDescent="0.2">
      <c r="A344" s="728">
        <v>42846</v>
      </c>
      <c r="B344" s="331">
        <v>241799</v>
      </c>
    </row>
    <row r="345" spans="1:2" x14ac:dyDescent="0.2">
      <c r="A345" s="728">
        <v>42849</v>
      </c>
      <c r="B345" s="331">
        <v>241973.76000000001</v>
      </c>
    </row>
    <row r="346" spans="1:2" x14ac:dyDescent="0.2">
      <c r="A346" s="728">
        <v>42850</v>
      </c>
      <c r="B346" s="331">
        <v>243364.2</v>
      </c>
    </row>
    <row r="347" spans="1:2" x14ac:dyDescent="0.2">
      <c r="A347" s="728">
        <v>42851</v>
      </c>
      <c r="B347" s="331">
        <v>243364</v>
      </c>
    </row>
    <row r="348" spans="1:2" x14ac:dyDescent="0.2">
      <c r="A348" s="728">
        <v>42852</v>
      </c>
      <c r="B348" s="331">
        <v>259265.45</v>
      </c>
    </row>
    <row r="349" spans="1:2" x14ac:dyDescent="0.2">
      <c r="A349" s="728">
        <v>42853</v>
      </c>
      <c r="B349" s="331">
        <v>290731.18</v>
      </c>
    </row>
    <row r="350" spans="1:2" x14ac:dyDescent="0.2">
      <c r="A350" s="728">
        <v>42856</v>
      </c>
      <c r="B350" s="331">
        <v>251486.17</v>
      </c>
    </row>
    <row r="351" spans="1:2" x14ac:dyDescent="0.2">
      <c r="A351" s="728">
        <v>42857</v>
      </c>
      <c r="B351" s="331">
        <v>253188.17</v>
      </c>
    </row>
    <row r="352" spans="1:2" x14ac:dyDescent="0.2">
      <c r="A352" s="728">
        <v>42858</v>
      </c>
      <c r="B352" s="331">
        <v>253188</v>
      </c>
    </row>
    <row r="353" spans="1:2" x14ac:dyDescent="0.2">
      <c r="A353" s="728">
        <v>42859</v>
      </c>
      <c r="B353" s="331">
        <v>232739.33</v>
      </c>
    </row>
    <row r="354" spans="1:2" x14ac:dyDescent="0.2">
      <c r="A354" s="728">
        <v>42860</v>
      </c>
      <c r="B354" s="331">
        <v>234049.33</v>
      </c>
    </row>
    <row r="355" spans="1:2" x14ac:dyDescent="0.2">
      <c r="A355" s="728">
        <v>42863</v>
      </c>
      <c r="B355" s="331">
        <v>314317.77</v>
      </c>
    </row>
    <row r="356" spans="1:2" x14ac:dyDescent="0.2">
      <c r="A356" s="728">
        <v>42864</v>
      </c>
      <c r="B356" s="331">
        <v>314318</v>
      </c>
    </row>
    <row r="357" spans="1:2" x14ac:dyDescent="0.2">
      <c r="A357" s="728">
        <v>42865</v>
      </c>
      <c r="B357" s="331">
        <v>314318</v>
      </c>
    </row>
    <row r="358" spans="1:2" x14ac:dyDescent="0.2">
      <c r="A358" s="728">
        <v>42866</v>
      </c>
      <c r="B358" s="331">
        <v>313971.28000000003</v>
      </c>
    </row>
    <row r="359" spans="1:2" x14ac:dyDescent="0.2">
      <c r="A359" s="728">
        <v>42867</v>
      </c>
      <c r="B359" s="331">
        <v>313971</v>
      </c>
    </row>
    <row r="360" spans="1:2" x14ac:dyDescent="0.2">
      <c r="A360" s="728">
        <v>42870</v>
      </c>
      <c r="B360" s="331">
        <v>271063.69</v>
      </c>
    </row>
    <row r="361" spans="1:2" x14ac:dyDescent="0.2">
      <c r="A361" s="728">
        <v>42871</v>
      </c>
      <c r="B361" s="331">
        <v>271064</v>
      </c>
    </row>
    <row r="362" spans="1:2" x14ac:dyDescent="0.2">
      <c r="A362" s="728">
        <v>42872</v>
      </c>
      <c r="B362" s="331">
        <v>271064</v>
      </c>
    </row>
    <row r="363" spans="1:2" x14ac:dyDescent="0.2">
      <c r="A363" s="728">
        <v>42873</v>
      </c>
      <c r="B363" s="331">
        <v>261497.73</v>
      </c>
    </row>
    <row r="364" spans="1:2" x14ac:dyDescent="0.2">
      <c r="A364" s="728">
        <v>42874</v>
      </c>
      <c r="B364" s="331">
        <v>311507.92</v>
      </c>
    </row>
    <row r="365" spans="1:2" x14ac:dyDescent="0.2">
      <c r="A365" s="728">
        <v>42877</v>
      </c>
      <c r="B365" s="331">
        <v>290080.52</v>
      </c>
    </row>
    <row r="366" spans="1:2" x14ac:dyDescent="0.2">
      <c r="A366" s="728">
        <v>42878</v>
      </c>
      <c r="B366" s="331">
        <v>290081</v>
      </c>
    </row>
    <row r="367" spans="1:2" x14ac:dyDescent="0.2">
      <c r="A367" s="728">
        <v>42879</v>
      </c>
      <c r="B367" s="331">
        <v>327080.46000000002</v>
      </c>
    </row>
    <row r="368" spans="1:2" x14ac:dyDescent="0.2">
      <c r="A368" s="728">
        <v>42880</v>
      </c>
      <c r="B368" s="331">
        <v>327080</v>
      </c>
    </row>
    <row r="369" spans="1:2" x14ac:dyDescent="0.2">
      <c r="A369" s="728">
        <v>42881</v>
      </c>
      <c r="B369" s="331">
        <v>336844.12</v>
      </c>
    </row>
    <row r="370" spans="1:2" x14ac:dyDescent="0.2">
      <c r="A370" s="728">
        <v>42884</v>
      </c>
      <c r="B370" s="331">
        <v>336844</v>
      </c>
    </row>
    <row r="371" spans="1:2" x14ac:dyDescent="0.2">
      <c r="A371" s="728">
        <v>42885</v>
      </c>
      <c r="B371" s="331">
        <v>300553.48</v>
      </c>
    </row>
    <row r="372" spans="1:2" x14ac:dyDescent="0.2">
      <c r="A372" s="728">
        <v>42886</v>
      </c>
      <c r="B372" s="331">
        <v>296887.5</v>
      </c>
    </row>
    <row r="373" spans="1:2" x14ac:dyDescent="0.2">
      <c r="A373" s="728">
        <v>42887</v>
      </c>
      <c r="B373" s="331">
        <v>297355.68</v>
      </c>
    </row>
    <row r="374" spans="1:2" x14ac:dyDescent="0.2">
      <c r="A374" s="728">
        <v>42888</v>
      </c>
      <c r="B374" s="331">
        <v>298760.68</v>
      </c>
    </row>
    <row r="375" spans="1:2" x14ac:dyDescent="0.2">
      <c r="A375" s="728">
        <v>42891</v>
      </c>
      <c r="B375" s="331">
        <v>279006.82</v>
      </c>
    </row>
    <row r="376" spans="1:2" x14ac:dyDescent="0.2">
      <c r="A376" s="728">
        <v>42892</v>
      </c>
      <c r="B376" s="331">
        <v>279007</v>
      </c>
    </row>
    <row r="377" spans="1:2" x14ac:dyDescent="0.2">
      <c r="A377" s="728">
        <v>42893</v>
      </c>
      <c r="B377" s="331">
        <v>279007</v>
      </c>
    </row>
    <row r="378" spans="1:2" x14ac:dyDescent="0.2">
      <c r="A378" s="728">
        <v>42894</v>
      </c>
      <c r="B378" s="331">
        <v>279112.07</v>
      </c>
    </row>
    <row r="379" spans="1:2" x14ac:dyDescent="0.2">
      <c r="A379" s="728">
        <v>42895</v>
      </c>
      <c r="B379" s="331">
        <v>279112</v>
      </c>
    </row>
    <row r="380" spans="1:2" x14ac:dyDescent="0.2">
      <c r="A380" s="728">
        <v>42898</v>
      </c>
      <c r="B380" s="331">
        <v>244072.02</v>
      </c>
    </row>
    <row r="381" spans="1:2" x14ac:dyDescent="0.2">
      <c r="A381" s="728">
        <v>42899</v>
      </c>
      <c r="B381" s="331">
        <v>249325.41</v>
      </c>
    </row>
    <row r="382" spans="1:2" x14ac:dyDescent="0.2">
      <c r="A382" s="728">
        <v>42900</v>
      </c>
      <c r="B382" s="331">
        <v>249325</v>
      </c>
    </row>
    <row r="383" spans="1:2" x14ac:dyDescent="0.2">
      <c r="A383" s="728">
        <v>42901</v>
      </c>
      <c r="B383" s="331">
        <v>252874.48</v>
      </c>
    </row>
    <row r="384" spans="1:2" x14ac:dyDescent="0.2">
      <c r="A384" s="728">
        <v>42902</v>
      </c>
      <c r="B384" s="331">
        <v>253128.65</v>
      </c>
    </row>
    <row r="385" spans="1:2" x14ac:dyDescent="0.2">
      <c r="A385" s="728">
        <v>42905</v>
      </c>
      <c r="B385" s="331">
        <v>255098.96</v>
      </c>
    </row>
    <row r="386" spans="1:2" x14ac:dyDescent="0.2">
      <c r="A386" s="728">
        <v>42906</v>
      </c>
      <c r="B386" s="331">
        <v>253521.42</v>
      </c>
    </row>
    <row r="387" spans="1:2" x14ac:dyDescent="0.2">
      <c r="A387" s="728">
        <v>42907</v>
      </c>
      <c r="B387" s="331">
        <v>253521</v>
      </c>
    </row>
    <row r="388" spans="1:2" x14ac:dyDescent="0.2">
      <c r="A388" s="728">
        <v>42908</v>
      </c>
      <c r="B388" s="331">
        <v>235912.36</v>
      </c>
    </row>
    <row r="389" spans="1:2" x14ac:dyDescent="0.2">
      <c r="A389" s="728">
        <v>42909</v>
      </c>
      <c r="B389" s="331">
        <v>235912</v>
      </c>
    </row>
    <row r="390" spans="1:2" x14ac:dyDescent="0.2">
      <c r="A390" s="728">
        <v>42912</v>
      </c>
      <c r="B390" s="364">
        <v>198879.76</v>
      </c>
    </row>
    <row r="391" spans="1:2" x14ac:dyDescent="0.2">
      <c r="A391" s="728">
        <v>42913</v>
      </c>
      <c r="B391" s="331">
        <v>199009.76</v>
      </c>
    </row>
    <row r="392" spans="1:2" x14ac:dyDescent="0.2">
      <c r="A392" s="728">
        <v>42914</v>
      </c>
      <c r="B392" s="331">
        <v>199010</v>
      </c>
    </row>
    <row r="393" spans="1:2" x14ac:dyDescent="0.2">
      <c r="A393" s="728">
        <v>42915</v>
      </c>
      <c r="B393" s="331">
        <v>210354</v>
      </c>
    </row>
    <row r="394" spans="1:2" x14ac:dyDescent="0.2">
      <c r="A394" s="728">
        <v>42916</v>
      </c>
      <c r="B394" s="331">
        <v>260779.62</v>
      </c>
    </row>
    <row r="395" spans="1:2" x14ac:dyDescent="0.2">
      <c r="A395" s="728">
        <v>42919</v>
      </c>
      <c r="B395" s="331">
        <v>260780</v>
      </c>
    </row>
    <row r="396" spans="1:2" x14ac:dyDescent="0.2">
      <c r="A396" s="728">
        <v>42920</v>
      </c>
      <c r="B396" s="331">
        <v>260780</v>
      </c>
    </row>
    <row r="397" spans="1:2" x14ac:dyDescent="0.2">
      <c r="A397" s="728">
        <v>42921</v>
      </c>
      <c r="B397" s="331">
        <v>260780</v>
      </c>
    </row>
    <row r="398" spans="1:2" x14ac:dyDescent="0.2">
      <c r="A398" s="728">
        <v>42922</v>
      </c>
      <c r="B398" s="331">
        <v>261774.11</v>
      </c>
    </row>
    <row r="399" spans="1:2" x14ac:dyDescent="0.2">
      <c r="A399" s="728">
        <v>42923</v>
      </c>
      <c r="B399" s="331">
        <v>261774</v>
      </c>
    </row>
    <row r="400" spans="1:2" x14ac:dyDescent="0.2">
      <c r="A400" s="728">
        <v>42926</v>
      </c>
      <c r="B400" s="331">
        <v>226950.89</v>
      </c>
    </row>
    <row r="401" spans="1:2" x14ac:dyDescent="0.2">
      <c r="A401" s="728">
        <v>42927</v>
      </c>
      <c r="B401" s="331">
        <v>226951</v>
      </c>
    </row>
    <row r="402" spans="1:2" x14ac:dyDescent="0.2">
      <c r="A402" s="728">
        <v>42928</v>
      </c>
      <c r="B402" s="331">
        <v>248711.94</v>
      </c>
    </row>
    <row r="403" spans="1:2" x14ac:dyDescent="0.2">
      <c r="A403" s="728">
        <v>42929</v>
      </c>
      <c r="B403" s="331">
        <v>256201.58</v>
      </c>
    </row>
    <row r="404" spans="1:2" x14ac:dyDescent="0.2">
      <c r="A404" s="728">
        <v>42930</v>
      </c>
      <c r="B404" s="331">
        <v>256272.97</v>
      </c>
    </row>
    <row r="405" spans="1:2" x14ac:dyDescent="0.2">
      <c r="A405" s="728">
        <v>42933</v>
      </c>
      <c r="B405" s="331">
        <v>256056.42</v>
      </c>
    </row>
    <row r="406" spans="1:2" x14ac:dyDescent="0.2">
      <c r="A406" s="728">
        <v>42934</v>
      </c>
      <c r="B406" s="331">
        <v>257213.96</v>
      </c>
    </row>
    <row r="407" spans="1:2" x14ac:dyDescent="0.2">
      <c r="A407" s="728">
        <v>42935</v>
      </c>
      <c r="B407" s="331">
        <v>257214</v>
      </c>
    </row>
    <row r="408" spans="1:2" x14ac:dyDescent="0.2">
      <c r="A408" s="728">
        <v>42936</v>
      </c>
      <c r="B408" s="331">
        <v>260075.5</v>
      </c>
    </row>
    <row r="409" spans="1:2" x14ac:dyDescent="0.2">
      <c r="A409" s="728">
        <v>42937</v>
      </c>
      <c r="B409" s="331">
        <v>339825.5</v>
      </c>
    </row>
    <row r="410" spans="1:2" x14ac:dyDescent="0.2">
      <c r="A410" s="728">
        <v>42940</v>
      </c>
      <c r="B410" s="331">
        <v>303182.65000000002</v>
      </c>
    </row>
    <row r="411" spans="1:2" x14ac:dyDescent="0.2">
      <c r="A411" s="728">
        <v>42941</v>
      </c>
      <c r="B411" s="331">
        <v>322340.12</v>
      </c>
    </row>
    <row r="412" spans="1:2" x14ac:dyDescent="0.2">
      <c r="A412" s="728">
        <v>42942</v>
      </c>
      <c r="B412" s="331">
        <v>322340</v>
      </c>
    </row>
    <row r="413" spans="1:2" x14ac:dyDescent="0.2">
      <c r="A413" s="728">
        <v>42943</v>
      </c>
      <c r="B413" s="331">
        <v>308772.78999999998</v>
      </c>
    </row>
    <row r="414" spans="1:2" x14ac:dyDescent="0.2">
      <c r="A414" s="728">
        <v>42944</v>
      </c>
      <c r="B414" s="331">
        <v>317343.40999999997</v>
      </c>
    </row>
    <row r="415" spans="1:2" x14ac:dyDescent="0.2">
      <c r="A415" s="728">
        <v>42947</v>
      </c>
      <c r="B415" s="331">
        <v>317343</v>
      </c>
    </row>
    <row r="416" spans="1:2" x14ac:dyDescent="0.2">
      <c r="A416" s="728">
        <v>42948</v>
      </c>
      <c r="B416" s="331">
        <v>369152.35</v>
      </c>
    </row>
    <row r="417" spans="1:2" x14ac:dyDescent="0.2">
      <c r="A417" s="728">
        <v>42949</v>
      </c>
      <c r="B417" s="331">
        <v>371061.94</v>
      </c>
    </row>
    <row r="418" spans="1:2" x14ac:dyDescent="0.2">
      <c r="A418" s="728">
        <v>42950</v>
      </c>
      <c r="B418" s="331">
        <v>372080.87</v>
      </c>
    </row>
    <row r="419" spans="1:2" x14ac:dyDescent="0.2">
      <c r="A419" s="728">
        <v>42951</v>
      </c>
      <c r="B419" s="331">
        <v>372080.87</v>
      </c>
    </row>
    <row r="420" spans="1:2" x14ac:dyDescent="0.2">
      <c r="A420" s="728">
        <v>42954</v>
      </c>
      <c r="B420" s="331">
        <v>336189.47</v>
      </c>
    </row>
    <row r="421" spans="1:2" x14ac:dyDescent="0.2">
      <c r="A421" s="728">
        <v>42955</v>
      </c>
      <c r="B421" s="331">
        <v>340998.07</v>
      </c>
    </row>
    <row r="422" spans="1:2" x14ac:dyDescent="0.2">
      <c r="A422" s="728">
        <v>42956</v>
      </c>
      <c r="B422" s="331">
        <v>332763.65000000002</v>
      </c>
    </row>
    <row r="423" spans="1:2" x14ac:dyDescent="0.2">
      <c r="A423" s="728">
        <v>42957</v>
      </c>
      <c r="B423" s="331">
        <v>375651.45</v>
      </c>
    </row>
    <row r="424" spans="1:2" x14ac:dyDescent="0.2">
      <c r="A424" s="728">
        <v>42958</v>
      </c>
      <c r="B424" s="331">
        <v>378293.21</v>
      </c>
    </row>
    <row r="425" spans="1:2" x14ac:dyDescent="0.2">
      <c r="A425" s="728">
        <v>42961</v>
      </c>
      <c r="B425" s="331">
        <v>378293</v>
      </c>
    </row>
    <row r="426" spans="1:2" x14ac:dyDescent="0.2">
      <c r="A426" s="728">
        <v>42962</v>
      </c>
      <c r="B426" s="331">
        <v>401190.06</v>
      </c>
    </row>
    <row r="427" spans="1:2" x14ac:dyDescent="0.2">
      <c r="A427" s="728">
        <v>42963</v>
      </c>
      <c r="B427" s="331">
        <v>401190</v>
      </c>
    </row>
    <row r="428" spans="1:2" x14ac:dyDescent="0.2">
      <c r="A428" s="728">
        <v>42964</v>
      </c>
      <c r="B428" s="331">
        <v>401569.72</v>
      </c>
    </row>
    <row r="429" spans="1:2" x14ac:dyDescent="0.2">
      <c r="A429" s="728">
        <v>42965</v>
      </c>
      <c r="B429" s="331">
        <v>403837.72</v>
      </c>
    </row>
    <row r="430" spans="1:2" x14ac:dyDescent="0.2">
      <c r="A430" s="728">
        <v>42968</v>
      </c>
      <c r="B430" s="331">
        <v>369495.17</v>
      </c>
    </row>
    <row r="431" spans="1:2" x14ac:dyDescent="0.2">
      <c r="A431" s="728">
        <v>42969</v>
      </c>
      <c r="B431" s="331">
        <v>379169.06</v>
      </c>
    </row>
    <row r="432" spans="1:2" x14ac:dyDescent="0.2">
      <c r="A432" s="728">
        <v>42970</v>
      </c>
      <c r="B432" s="331">
        <v>379169</v>
      </c>
    </row>
    <row r="433" spans="1:2" x14ac:dyDescent="0.2">
      <c r="A433" s="728">
        <v>42971</v>
      </c>
      <c r="B433" s="331">
        <v>372540.41</v>
      </c>
    </row>
    <row r="434" spans="1:2" x14ac:dyDescent="0.2">
      <c r="A434" s="728">
        <v>42972</v>
      </c>
      <c r="B434" s="331">
        <v>372540</v>
      </c>
    </row>
    <row r="435" spans="1:2" x14ac:dyDescent="0.2">
      <c r="A435" s="728">
        <v>42975</v>
      </c>
      <c r="B435" s="331">
        <v>372540</v>
      </c>
    </row>
    <row r="436" spans="1:2" x14ac:dyDescent="0.2">
      <c r="A436" s="728">
        <v>42976</v>
      </c>
      <c r="B436" s="331">
        <v>374625.25</v>
      </c>
    </row>
    <row r="437" spans="1:2" x14ac:dyDescent="0.2">
      <c r="A437" s="728">
        <v>42977</v>
      </c>
      <c r="B437" s="331">
        <v>382658.46</v>
      </c>
    </row>
    <row r="438" spans="1:2" x14ac:dyDescent="0.2">
      <c r="A438" s="728">
        <v>42978</v>
      </c>
      <c r="B438" s="331">
        <v>389160.26</v>
      </c>
    </row>
    <row r="439" spans="1:2" x14ac:dyDescent="0.2">
      <c r="A439" s="728">
        <v>42979</v>
      </c>
      <c r="B439" s="331">
        <v>389160</v>
      </c>
    </row>
    <row r="440" spans="1:2" x14ac:dyDescent="0.2">
      <c r="A440" s="728">
        <v>42982</v>
      </c>
      <c r="B440" s="331">
        <v>389160</v>
      </c>
    </row>
    <row r="441" spans="1:2" x14ac:dyDescent="0.2">
      <c r="A441" s="728">
        <v>42983</v>
      </c>
      <c r="B441" s="331">
        <v>352908.42</v>
      </c>
    </row>
    <row r="442" spans="1:2" x14ac:dyDescent="0.2">
      <c r="A442" s="728">
        <v>42984</v>
      </c>
      <c r="B442" s="331">
        <v>383959.41</v>
      </c>
    </row>
    <row r="443" spans="1:2" x14ac:dyDescent="0.2">
      <c r="A443" s="728">
        <v>42985</v>
      </c>
      <c r="B443" s="331">
        <v>403148.81</v>
      </c>
    </row>
    <row r="444" spans="1:2" x14ac:dyDescent="0.2">
      <c r="A444" s="728">
        <v>42986</v>
      </c>
      <c r="B444" s="331">
        <v>403344.11</v>
      </c>
    </row>
    <row r="445" spans="1:2" x14ac:dyDescent="0.2">
      <c r="A445" s="728">
        <v>42989</v>
      </c>
      <c r="B445" s="331">
        <v>403344</v>
      </c>
    </row>
    <row r="446" spans="1:2" x14ac:dyDescent="0.2">
      <c r="A446" s="728">
        <v>42990</v>
      </c>
      <c r="B446" s="331">
        <v>403344</v>
      </c>
    </row>
    <row r="447" spans="1:2" x14ac:dyDescent="0.2">
      <c r="A447" s="728">
        <v>42991</v>
      </c>
      <c r="B447" s="331">
        <v>403344</v>
      </c>
    </row>
    <row r="448" spans="1:2" x14ac:dyDescent="0.2">
      <c r="A448" s="728">
        <v>42992</v>
      </c>
      <c r="B448" s="331">
        <v>400016.8</v>
      </c>
    </row>
    <row r="449" spans="1:2" x14ac:dyDescent="0.2">
      <c r="A449" s="728">
        <v>42993</v>
      </c>
      <c r="B449" s="331">
        <v>400134.96</v>
      </c>
    </row>
    <row r="450" spans="1:2" x14ac:dyDescent="0.2">
      <c r="A450" s="728">
        <v>42996</v>
      </c>
      <c r="B450" s="331">
        <v>364805.11</v>
      </c>
    </row>
    <row r="451" spans="1:2" x14ac:dyDescent="0.2">
      <c r="A451" s="728">
        <v>42997</v>
      </c>
      <c r="B451" s="331">
        <v>364805</v>
      </c>
    </row>
    <row r="452" spans="1:2" x14ac:dyDescent="0.2">
      <c r="A452" s="728">
        <v>42998</v>
      </c>
      <c r="B452" s="331">
        <v>371804.33</v>
      </c>
    </row>
    <row r="453" spans="1:2" x14ac:dyDescent="0.2">
      <c r="A453" s="728">
        <v>42999</v>
      </c>
      <c r="B453" s="331">
        <v>370759.85</v>
      </c>
    </row>
    <row r="454" spans="1:2" x14ac:dyDescent="0.2">
      <c r="A454" s="728">
        <v>43000</v>
      </c>
      <c r="B454" s="331">
        <v>389878.66</v>
      </c>
    </row>
    <row r="455" spans="1:2" x14ac:dyDescent="0.2">
      <c r="A455" s="728">
        <v>43003</v>
      </c>
      <c r="B455" s="331">
        <v>393013.02</v>
      </c>
    </row>
    <row r="456" spans="1:2" x14ac:dyDescent="0.2">
      <c r="A456" s="728">
        <v>43004</v>
      </c>
      <c r="B456" s="331">
        <v>393593.22</v>
      </c>
    </row>
    <row r="457" spans="1:2" x14ac:dyDescent="0.2">
      <c r="A457" s="728">
        <v>43005</v>
      </c>
      <c r="B457" s="331">
        <v>393593</v>
      </c>
    </row>
    <row r="458" spans="1:2" x14ac:dyDescent="0.2">
      <c r="A458" s="728">
        <v>43006</v>
      </c>
      <c r="B458" s="331">
        <v>385433.95</v>
      </c>
    </row>
    <row r="459" spans="1:2" x14ac:dyDescent="0.2">
      <c r="A459" s="728">
        <v>43007</v>
      </c>
      <c r="B459" s="331">
        <v>385678.15</v>
      </c>
    </row>
    <row r="460" spans="1:2" x14ac:dyDescent="0.2">
      <c r="A460" s="728">
        <v>43010</v>
      </c>
      <c r="B460" s="331">
        <v>350949.28</v>
      </c>
    </row>
    <row r="461" spans="1:2" x14ac:dyDescent="0.2">
      <c r="A461" s="728">
        <v>43011</v>
      </c>
      <c r="B461" s="331">
        <v>352010.98</v>
      </c>
    </row>
    <row r="462" spans="1:2" x14ac:dyDescent="0.2">
      <c r="A462" s="728">
        <v>43012</v>
      </c>
      <c r="B462" s="331">
        <v>352011</v>
      </c>
    </row>
    <row r="463" spans="1:2" x14ac:dyDescent="0.2">
      <c r="A463" s="728">
        <v>43013</v>
      </c>
      <c r="B463" s="331">
        <v>348679</v>
      </c>
    </row>
    <row r="464" spans="1:2" x14ac:dyDescent="0.2">
      <c r="A464" s="728">
        <v>43014</v>
      </c>
      <c r="B464" s="331">
        <v>348679</v>
      </c>
    </row>
    <row r="465" spans="1:2" x14ac:dyDescent="0.2">
      <c r="A465" s="728">
        <v>43017</v>
      </c>
      <c r="B465" s="331">
        <v>348679</v>
      </c>
    </row>
    <row r="466" spans="1:2" x14ac:dyDescent="0.2">
      <c r="A466" s="728">
        <v>43018</v>
      </c>
      <c r="B466" s="331">
        <v>348679</v>
      </c>
    </row>
    <row r="467" spans="1:2" x14ac:dyDescent="0.2">
      <c r="A467" s="728">
        <v>43019</v>
      </c>
      <c r="B467" s="331">
        <v>348761.24</v>
      </c>
    </row>
    <row r="468" spans="1:2" x14ac:dyDescent="0.2">
      <c r="A468" s="728">
        <v>43020</v>
      </c>
      <c r="B468" s="331">
        <v>349998.26</v>
      </c>
    </row>
    <row r="469" spans="1:2" x14ac:dyDescent="0.2">
      <c r="A469" s="728">
        <v>43021</v>
      </c>
      <c r="B469" s="331">
        <v>370561.14</v>
      </c>
    </row>
    <row r="470" spans="1:2" x14ac:dyDescent="0.2">
      <c r="A470" s="728">
        <v>43024</v>
      </c>
      <c r="B470" s="331">
        <v>336220.14</v>
      </c>
    </row>
    <row r="471" spans="1:2" x14ac:dyDescent="0.2">
      <c r="A471" s="728">
        <v>43025</v>
      </c>
      <c r="B471" s="331">
        <v>336332.14</v>
      </c>
    </row>
    <row r="472" spans="1:2" x14ac:dyDescent="0.2">
      <c r="A472" s="728">
        <v>43026</v>
      </c>
      <c r="B472" s="331">
        <v>336332</v>
      </c>
    </row>
    <row r="473" spans="1:2" x14ac:dyDescent="0.2">
      <c r="A473" s="728">
        <v>43027</v>
      </c>
      <c r="B473" s="331">
        <v>339185.02</v>
      </c>
    </row>
    <row r="474" spans="1:2" x14ac:dyDescent="0.2">
      <c r="A474" s="728">
        <v>43028</v>
      </c>
      <c r="B474" s="331">
        <v>344936.35</v>
      </c>
    </row>
    <row r="475" spans="1:2" x14ac:dyDescent="0.2">
      <c r="A475" s="728">
        <v>43031</v>
      </c>
      <c r="B475" s="331">
        <v>344564.68</v>
      </c>
    </row>
    <row r="476" spans="1:2" x14ac:dyDescent="0.2">
      <c r="A476" s="728">
        <v>43032</v>
      </c>
      <c r="B476" s="331">
        <v>344565</v>
      </c>
    </row>
    <row r="477" spans="1:2" x14ac:dyDescent="0.2">
      <c r="A477" s="728">
        <v>43033</v>
      </c>
      <c r="B477" s="331">
        <v>344829.18</v>
      </c>
    </row>
    <row r="478" spans="1:2" x14ac:dyDescent="0.2">
      <c r="A478" s="728">
        <v>43034</v>
      </c>
      <c r="B478" s="331">
        <v>339942.05</v>
      </c>
    </row>
    <row r="479" spans="1:2" x14ac:dyDescent="0.2">
      <c r="A479" s="728">
        <v>43035</v>
      </c>
      <c r="B479" s="331">
        <v>360185.72</v>
      </c>
    </row>
    <row r="480" spans="1:2" x14ac:dyDescent="0.2">
      <c r="A480" s="728">
        <v>43038</v>
      </c>
      <c r="B480" s="331">
        <v>323067.73</v>
      </c>
    </row>
    <row r="481" spans="1:2" x14ac:dyDescent="0.2">
      <c r="A481" s="728">
        <v>43039</v>
      </c>
      <c r="B481" s="331">
        <v>323197.73</v>
      </c>
    </row>
    <row r="482" spans="1:2" x14ac:dyDescent="0.2">
      <c r="A482" s="728">
        <v>43040</v>
      </c>
      <c r="B482" s="331">
        <v>323198</v>
      </c>
    </row>
    <row r="483" spans="1:2" x14ac:dyDescent="0.2">
      <c r="A483" s="728">
        <v>43041</v>
      </c>
      <c r="B483" s="331">
        <v>341044.7</v>
      </c>
    </row>
    <row r="484" spans="1:2" x14ac:dyDescent="0.2">
      <c r="A484" s="728">
        <v>43042</v>
      </c>
      <c r="B484" s="331">
        <v>341676.17</v>
      </c>
    </row>
    <row r="485" spans="1:2" x14ac:dyDescent="0.2">
      <c r="A485" s="728">
        <v>43045</v>
      </c>
      <c r="B485" s="331">
        <v>341676</v>
      </c>
    </row>
    <row r="486" spans="1:2" x14ac:dyDescent="0.2">
      <c r="A486" s="728">
        <v>43046</v>
      </c>
      <c r="B486" s="331">
        <v>341676</v>
      </c>
    </row>
    <row r="487" spans="1:2" x14ac:dyDescent="0.2">
      <c r="A487" s="728">
        <v>43047</v>
      </c>
      <c r="B487" s="331">
        <v>379863.97</v>
      </c>
    </row>
    <row r="488" spans="1:2" x14ac:dyDescent="0.2">
      <c r="A488" s="728">
        <v>43048</v>
      </c>
      <c r="B488" s="331">
        <v>378842.06</v>
      </c>
    </row>
    <row r="489" spans="1:2" x14ac:dyDescent="0.2">
      <c r="A489" s="728">
        <v>43049</v>
      </c>
      <c r="B489" s="331">
        <v>378842</v>
      </c>
    </row>
    <row r="490" spans="1:2" x14ac:dyDescent="0.2">
      <c r="A490" s="728">
        <v>43052</v>
      </c>
      <c r="B490" s="331">
        <v>340784.14</v>
      </c>
    </row>
    <row r="491" spans="1:2" x14ac:dyDescent="0.2">
      <c r="A491" s="728">
        <v>43053</v>
      </c>
      <c r="B491" s="331">
        <v>340784</v>
      </c>
    </row>
    <row r="492" spans="1:2" x14ac:dyDescent="0.2">
      <c r="A492" s="728">
        <v>43054</v>
      </c>
      <c r="B492" s="331">
        <v>340895.76</v>
      </c>
    </row>
    <row r="493" spans="1:2" x14ac:dyDescent="0.2">
      <c r="A493" s="728">
        <v>43055</v>
      </c>
      <c r="B493" s="331">
        <v>354246.44</v>
      </c>
    </row>
    <row r="494" spans="1:2" x14ac:dyDescent="0.2">
      <c r="A494" s="728">
        <v>43056</v>
      </c>
      <c r="B494" s="331">
        <v>354246.44</v>
      </c>
    </row>
    <row r="495" spans="1:2" x14ac:dyDescent="0.2">
      <c r="A495" s="728">
        <v>43059</v>
      </c>
      <c r="B495" s="331">
        <v>354264.44</v>
      </c>
    </row>
    <row r="496" spans="1:2" x14ac:dyDescent="0.2">
      <c r="A496" s="728">
        <v>43060</v>
      </c>
      <c r="B496" s="331">
        <v>354264</v>
      </c>
    </row>
    <row r="497" spans="1:2" x14ac:dyDescent="0.2">
      <c r="A497" s="728">
        <v>43061</v>
      </c>
      <c r="B497" s="331">
        <v>357804.55</v>
      </c>
    </row>
    <row r="498" spans="1:2" x14ac:dyDescent="0.2">
      <c r="A498" s="728">
        <v>43062</v>
      </c>
      <c r="B498" s="331">
        <v>357805</v>
      </c>
    </row>
    <row r="499" spans="1:2" x14ac:dyDescent="0.2">
      <c r="A499" s="728">
        <v>43063</v>
      </c>
      <c r="B499" s="331">
        <v>361119.05</v>
      </c>
    </row>
    <row r="500" spans="1:2" x14ac:dyDescent="0.2">
      <c r="A500" s="728">
        <v>43066</v>
      </c>
      <c r="B500" s="331">
        <v>318415.71000000002</v>
      </c>
    </row>
    <row r="501" spans="1:2" x14ac:dyDescent="0.2">
      <c r="A501" s="728">
        <v>43067</v>
      </c>
      <c r="B501" s="331">
        <v>320237.53999999998</v>
      </c>
    </row>
    <row r="502" spans="1:2" x14ac:dyDescent="0.2">
      <c r="A502" s="728">
        <v>43068</v>
      </c>
      <c r="B502" s="331">
        <v>320237.53999999998</v>
      </c>
    </row>
    <row r="503" spans="1:2" x14ac:dyDescent="0.2">
      <c r="A503" s="728">
        <v>43069</v>
      </c>
      <c r="B503" s="331">
        <v>325286.46999999997</v>
      </c>
    </row>
    <row r="504" spans="1:2" x14ac:dyDescent="0.2">
      <c r="A504" s="728">
        <v>43070</v>
      </c>
      <c r="B504" s="331">
        <v>334247.03000000003</v>
      </c>
    </row>
    <row r="505" spans="1:2" x14ac:dyDescent="0.2">
      <c r="A505" s="728">
        <v>43073</v>
      </c>
      <c r="B505" s="331">
        <v>334247</v>
      </c>
    </row>
    <row r="506" spans="1:2" x14ac:dyDescent="0.2">
      <c r="A506" s="728">
        <v>43074</v>
      </c>
      <c r="B506" s="331">
        <v>334247.03000000003</v>
      </c>
    </row>
    <row r="507" spans="1:2" x14ac:dyDescent="0.2">
      <c r="A507" s="728">
        <v>43075</v>
      </c>
      <c r="B507" s="331">
        <v>334247</v>
      </c>
    </row>
    <row r="508" spans="1:2" x14ac:dyDescent="0.2">
      <c r="A508" s="728">
        <v>43076</v>
      </c>
      <c r="B508" s="331">
        <v>323171.46000000002</v>
      </c>
    </row>
    <row r="509" spans="1:2" x14ac:dyDescent="0.2">
      <c r="A509" s="728">
        <v>43077</v>
      </c>
      <c r="B509" s="331">
        <v>324229.90999999997</v>
      </c>
    </row>
    <row r="510" spans="1:2" x14ac:dyDescent="0.2">
      <c r="A510" s="728">
        <v>43080</v>
      </c>
      <c r="B510" s="331">
        <v>324230</v>
      </c>
    </row>
    <row r="511" spans="1:2" x14ac:dyDescent="0.2">
      <c r="A511" s="728">
        <v>43081</v>
      </c>
      <c r="B511" s="331">
        <v>286030.39</v>
      </c>
    </row>
    <row r="512" spans="1:2" x14ac:dyDescent="0.2">
      <c r="A512" s="728">
        <v>43082</v>
      </c>
      <c r="B512" s="331">
        <v>286197.44</v>
      </c>
    </row>
    <row r="513" spans="1:14" x14ac:dyDescent="0.2">
      <c r="A513" s="728">
        <v>43083</v>
      </c>
      <c r="B513" s="331">
        <v>280065.2</v>
      </c>
    </row>
    <row r="514" spans="1:14" x14ac:dyDescent="0.2">
      <c r="A514" s="728">
        <v>43084</v>
      </c>
      <c r="B514" s="331">
        <v>284409.09999999998</v>
      </c>
    </row>
    <row r="515" spans="1:14" x14ac:dyDescent="0.2">
      <c r="A515" s="728">
        <v>43087</v>
      </c>
      <c r="B515" s="331">
        <v>285119.09999999998</v>
      </c>
    </row>
    <row r="516" spans="1:14" x14ac:dyDescent="0.2">
      <c r="A516" s="728">
        <v>43088</v>
      </c>
      <c r="B516" s="331">
        <v>285395.49</v>
      </c>
    </row>
    <row r="517" spans="1:14" x14ac:dyDescent="0.2">
      <c r="A517" s="728">
        <v>43089</v>
      </c>
      <c r="B517" s="331">
        <v>285395</v>
      </c>
    </row>
    <row r="518" spans="1:14" x14ac:dyDescent="0.2">
      <c r="A518" s="728">
        <v>43090</v>
      </c>
      <c r="B518" s="331">
        <v>285542.49</v>
      </c>
    </row>
    <row r="519" spans="1:14" x14ac:dyDescent="0.2">
      <c r="A519" s="728">
        <v>43091</v>
      </c>
      <c r="B519" s="331">
        <v>285542</v>
      </c>
    </row>
    <row r="520" spans="1:14" x14ac:dyDescent="0.2">
      <c r="A520" s="728">
        <v>43094</v>
      </c>
      <c r="B520" s="331">
        <v>285542</v>
      </c>
    </row>
    <row r="521" spans="1:14" x14ac:dyDescent="0.2">
      <c r="A521" s="728">
        <v>43095</v>
      </c>
      <c r="B521" s="331">
        <v>248584.72</v>
      </c>
    </row>
    <row r="522" spans="1:14" x14ac:dyDescent="0.2">
      <c r="A522" s="728">
        <v>43096</v>
      </c>
      <c r="B522" s="331">
        <v>248585</v>
      </c>
    </row>
    <row r="523" spans="1:14" x14ac:dyDescent="0.2">
      <c r="A523" s="728">
        <v>43097</v>
      </c>
      <c r="B523" s="331">
        <v>270685.83</v>
      </c>
    </row>
    <row r="524" spans="1:14" x14ac:dyDescent="0.2">
      <c r="A524" s="728">
        <v>43098</v>
      </c>
      <c r="B524" s="331">
        <v>282558.58</v>
      </c>
    </row>
    <row r="525" spans="1:14" x14ac:dyDescent="0.2">
      <c r="A525" s="728">
        <v>43101</v>
      </c>
      <c r="B525" s="331">
        <v>282559</v>
      </c>
      <c r="F525" s="318"/>
      <c r="G525" t="s">
        <v>277</v>
      </c>
      <c r="H525" t="s">
        <v>278</v>
      </c>
      <c r="J525" t="s">
        <v>232</v>
      </c>
      <c r="K525" t="s">
        <v>278</v>
      </c>
      <c r="N525">
        <v>0.06</v>
      </c>
    </row>
    <row r="526" spans="1:14" x14ac:dyDescent="0.2">
      <c r="A526" s="728">
        <v>43102</v>
      </c>
      <c r="B526" s="331">
        <v>282508.58</v>
      </c>
      <c r="F526" s="318">
        <v>42370</v>
      </c>
      <c r="G526" s="124">
        <v>369484</v>
      </c>
      <c r="H526" s="163">
        <v>31036</v>
      </c>
      <c r="N526" s="458">
        <f>K529*N525/12 +K529</f>
        <v>151791.18</v>
      </c>
    </row>
    <row r="527" spans="1:14" x14ac:dyDescent="0.2">
      <c r="A527" s="728">
        <v>43103</v>
      </c>
      <c r="B527" s="331">
        <v>282509</v>
      </c>
      <c r="F527" s="318">
        <v>42401</v>
      </c>
      <c r="G527" s="124">
        <v>295493.53000000003</v>
      </c>
      <c r="H527" s="163">
        <v>31035.72</v>
      </c>
      <c r="N527" s="458">
        <f>N$525*N526/12 +N526</f>
        <v>152550.13589999999</v>
      </c>
    </row>
    <row r="528" spans="1:14" x14ac:dyDescent="0.2">
      <c r="A528" s="728">
        <v>43104</v>
      </c>
      <c r="B528" s="331">
        <v>283213.14</v>
      </c>
      <c r="F528" s="318">
        <v>42430</v>
      </c>
      <c r="G528" s="124">
        <v>255865.07</v>
      </c>
      <c r="H528" s="163">
        <v>151035.72</v>
      </c>
      <c r="N528" s="458">
        <f t="shared" ref="N528:N591" si="3">N$525*N527/12 +N527</f>
        <v>153312.88657949999</v>
      </c>
    </row>
    <row r="529" spans="1:14" x14ac:dyDescent="0.2">
      <c r="A529" s="728">
        <v>43105</v>
      </c>
      <c r="B529" s="331">
        <v>297779.06</v>
      </c>
      <c r="F529" s="318">
        <v>42461</v>
      </c>
      <c r="G529" s="124">
        <v>294098.96000000002</v>
      </c>
      <c r="H529" s="163">
        <v>151036</v>
      </c>
      <c r="J529" s="318">
        <v>42461</v>
      </c>
      <c r="K529" s="163">
        <v>151036</v>
      </c>
      <c r="N529" s="458">
        <f t="shared" si="3"/>
        <v>154079.45101239748</v>
      </c>
    </row>
    <row r="530" spans="1:14" x14ac:dyDescent="0.2">
      <c r="A530" s="728">
        <v>43108</v>
      </c>
      <c r="B530" s="331">
        <v>263886.2</v>
      </c>
      <c r="F530" s="318">
        <v>42491</v>
      </c>
      <c r="G530" s="124">
        <v>333922.02</v>
      </c>
      <c r="H530" s="163">
        <v>151087.09</v>
      </c>
      <c r="J530" s="318">
        <v>42491</v>
      </c>
      <c r="K530" s="163">
        <v>151087.09</v>
      </c>
      <c r="N530" s="458">
        <f t="shared" si="3"/>
        <v>154849.84826745946</v>
      </c>
    </row>
    <row r="531" spans="1:14" x14ac:dyDescent="0.2">
      <c r="A531" s="728">
        <v>43109</v>
      </c>
      <c r="B531" s="331">
        <v>277030.96999999997</v>
      </c>
      <c r="F531" s="318">
        <v>42551</v>
      </c>
      <c r="G531" s="124">
        <v>384005.8</v>
      </c>
      <c r="H531" s="163">
        <v>151336.84</v>
      </c>
      <c r="J531" s="318">
        <v>42551</v>
      </c>
      <c r="K531" s="163">
        <v>151336.84</v>
      </c>
      <c r="N531" s="458">
        <f t="shared" si="3"/>
        <v>155624.09750879675</v>
      </c>
    </row>
    <row r="532" spans="1:14" x14ac:dyDescent="0.2">
      <c r="A532" s="728">
        <v>43110</v>
      </c>
      <c r="B532" s="331">
        <v>277031</v>
      </c>
      <c r="F532" s="318">
        <v>42582</v>
      </c>
      <c r="G532" s="124">
        <v>292004.15999999997</v>
      </c>
      <c r="H532" s="163">
        <v>151611.29999999999</v>
      </c>
      <c r="J532" s="318">
        <v>42582</v>
      </c>
      <c r="K532" s="163">
        <v>151611.29999999999</v>
      </c>
      <c r="N532" s="458">
        <f t="shared" si="3"/>
        <v>156402.21799634074</v>
      </c>
    </row>
    <row r="533" spans="1:14" x14ac:dyDescent="0.2">
      <c r="A533" s="728">
        <v>43111</v>
      </c>
      <c r="B533" s="331">
        <v>281394.14</v>
      </c>
      <c r="F533" s="318">
        <v>42583</v>
      </c>
      <c r="G533" s="124">
        <v>182562.29</v>
      </c>
      <c r="H533" s="163">
        <v>151776.70000000001</v>
      </c>
      <c r="J533" s="318">
        <v>42583</v>
      </c>
      <c r="K533" s="163">
        <v>151776.70000000001</v>
      </c>
      <c r="N533" s="458">
        <f t="shared" si="3"/>
        <v>157184.22908632245</v>
      </c>
    </row>
    <row r="534" spans="1:14" x14ac:dyDescent="0.2">
      <c r="A534" s="728">
        <v>43112</v>
      </c>
      <c r="B534" s="331">
        <v>281470.18</v>
      </c>
      <c r="F534" s="318">
        <v>42614</v>
      </c>
      <c r="G534" s="124">
        <v>242442.87</v>
      </c>
      <c r="H534" s="163">
        <v>151844.44</v>
      </c>
      <c r="J534" s="318">
        <v>42614</v>
      </c>
      <c r="K534" s="163">
        <v>151844.44</v>
      </c>
      <c r="N534" s="458">
        <f t="shared" si="3"/>
        <v>157970.15023175406</v>
      </c>
    </row>
    <row r="535" spans="1:14" x14ac:dyDescent="0.2">
      <c r="A535" s="728">
        <v>43115</v>
      </c>
      <c r="B535" s="331">
        <v>281470</v>
      </c>
      <c r="F535" s="318">
        <v>42644</v>
      </c>
      <c r="G535" s="124">
        <v>247104.37</v>
      </c>
      <c r="H535" s="163">
        <v>152036.04</v>
      </c>
      <c r="J535" s="318">
        <v>42644</v>
      </c>
      <c r="K535" s="163">
        <v>152036.04</v>
      </c>
      <c r="N535" s="458">
        <f t="shared" si="3"/>
        <v>158760.00098291284</v>
      </c>
    </row>
    <row r="536" spans="1:14" x14ac:dyDescent="0.2">
      <c r="A536" s="728">
        <v>43116</v>
      </c>
      <c r="B536" s="331">
        <v>284325.94</v>
      </c>
      <c r="F536" s="318">
        <v>42675</v>
      </c>
      <c r="G536" s="124">
        <v>246462.95</v>
      </c>
      <c r="H536" s="163">
        <v>152464.91</v>
      </c>
      <c r="J536" s="318">
        <v>42675</v>
      </c>
      <c r="K536" s="163">
        <v>152464.91</v>
      </c>
      <c r="N536" s="458">
        <f t="shared" si="3"/>
        <v>159553.80098782742</v>
      </c>
    </row>
    <row r="537" spans="1:14" x14ac:dyDescent="0.2">
      <c r="A537" s="728">
        <v>43117</v>
      </c>
      <c r="B537" s="331">
        <v>305911.78000000003</v>
      </c>
      <c r="F537" s="318">
        <v>42705</v>
      </c>
      <c r="G537" s="124">
        <v>249839.51</v>
      </c>
      <c r="H537" s="163">
        <v>154533.13</v>
      </c>
      <c r="J537" s="318">
        <v>42705</v>
      </c>
      <c r="K537" s="163">
        <v>154533.13</v>
      </c>
      <c r="N537" s="458">
        <f t="shared" si="3"/>
        <v>160351.56999276654</v>
      </c>
    </row>
    <row r="538" spans="1:14" x14ac:dyDescent="0.2">
      <c r="A538" s="728">
        <v>43118</v>
      </c>
      <c r="B538" s="331">
        <v>305752.93</v>
      </c>
      <c r="F538" s="318">
        <v>42736</v>
      </c>
      <c r="G538" s="124">
        <v>351420</v>
      </c>
      <c r="H538" s="163">
        <v>155633.59</v>
      </c>
      <c r="J538" s="318">
        <v>42736</v>
      </c>
      <c r="K538" s="163">
        <v>155633.59</v>
      </c>
      <c r="N538" s="458">
        <f t="shared" si="3"/>
        <v>161153.32784273036</v>
      </c>
    </row>
    <row r="539" spans="1:14" x14ac:dyDescent="0.2">
      <c r="A539" s="728">
        <v>43119</v>
      </c>
      <c r="B539" s="331">
        <v>332730.14</v>
      </c>
      <c r="F539" s="318">
        <v>42767</v>
      </c>
      <c r="G539" s="124">
        <v>253330</v>
      </c>
      <c r="H539" s="163">
        <v>158448.25</v>
      </c>
      <c r="J539" s="318">
        <v>42767</v>
      </c>
      <c r="K539" s="163">
        <v>158448.25</v>
      </c>
      <c r="N539" s="458">
        <f t="shared" si="3"/>
        <v>161959.09448194402</v>
      </c>
    </row>
    <row r="540" spans="1:14" x14ac:dyDescent="0.2">
      <c r="A540" s="728">
        <v>43122</v>
      </c>
      <c r="B540" s="331">
        <v>291419.49</v>
      </c>
      <c r="F540" s="318">
        <v>42795</v>
      </c>
      <c r="G540" s="124">
        <v>280744</v>
      </c>
      <c r="H540" s="163">
        <v>159113.29</v>
      </c>
      <c r="J540" s="318">
        <v>42795</v>
      </c>
      <c r="K540" s="163">
        <v>159113.29</v>
      </c>
      <c r="N540" s="458">
        <f t="shared" si="3"/>
        <v>162768.88995435374</v>
      </c>
    </row>
    <row r="541" spans="1:14" x14ac:dyDescent="0.2">
      <c r="A541" s="728">
        <v>43123</v>
      </c>
      <c r="B541" s="331">
        <v>293419.65000000002</v>
      </c>
      <c r="F541" s="318">
        <v>42826</v>
      </c>
      <c r="G541" s="124">
        <v>319478.15999999997</v>
      </c>
      <c r="H541" s="163">
        <v>159614.53</v>
      </c>
      <c r="J541" s="318">
        <v>42826</v>
      </c>
      <c r="K541" s="163">
        <v>159614.53</v>
      </c>
      <c r="N541" s="458">
        <f t="shared" si="3"/>
        <v>163582.73440412551</v>
      </c>
    </row>
    <row r="542" spans="1:14" x14ac:dyDescent="0.2">
      <c r="A542" s="728">
        <v>43124</v>
      </c>
      <c r="B542" s="331">
        <v>293420</v>
      </c>
      <c r="F542" s="318">
        <v>42856</v>
      </c>
      <c r="G542" s="124">
        <v>241828.1</v>
      </c>
      <c r="H542" s="163">
        <v>160436.21</v>
      </c>
      <c r="J542" s="318">
        <v>42856</v>
      </c>
      <c r="K542" s="163">
        <v>160436.21</v>
      </c>
      <c r="N542" s="458">
        <f t="shared" si="3"/>
        <v>164400.64807614614</v>
      </c>
    </row>
    <row r="543" spans="1:14" x14ac:dyDescent="0.2">
      <c r="A543" s="728">
        <v>43125</v>
      </c>
      <c r="B543" s="331">
        <v>301331.82</v>
      </c>
      <c r="F543" s="318">
        <v>42887</v>
      </c>
      <c r="G543" s="124">
        <v>248981.18</v>
      </c>
      <c r="H543" s="163">
        <v>160443.22</v>
      </c>
      <c r="J543" s="318">
        <v>42887</v>
      </c>
      <c r="K543" s="163">
        <v>160443.22</v>
      </c>
      <c r="M543" s="163"/>
      <c r="N543" s="458">
        <f t="shared" si="3"/>
        <v>165222.65131652687</v>
      </c>
    </row>
    <row r="544" spans="1:14" x14ac:dyDescent="0.2">
      <c r="A544" s="728">
        <v>43126</v>
      </c>
      <c r="B544" s="331">
        <v>327084.28999999998</v>
      </c>
      <c r="F544" s="318">
        <v>42917</v>
      </c>
      <c r="G544" s="124">
        <v>268937.63</v>
      </c>
      <c r="H544" s="163">
        <v>161526.35999999999</v>
      </c>
      <c r="J544" s="318">
        <v>42917</v>
      </c>
      <c r="K544" s="163">
        <v>161526.35999999999</v>
      </c>
      <c r="M544" s="147"/>
      <c r="N544" s="458">
        <f t="shared" si="3"/>
        <v>166048.76457310951</v>
      </c>
    </row>
    <row r="545" spans="1:14" x14ac:dyDescent="0.2">
      <c r="A545" s="728">
        <v>43129</v>
      </c>
      <c r="B545" s="331">
        <v>327084</v>
      </c>
      <c r="F545" s="318">
        <v>42948</v>
      </c>
      <c r="G545" s="124">
        <v>198251.6</v>
      </c>
      <c r="H545" s="163">
        <v>162013.01</v>
      </c>
      <c r="J545" s="318">
        <v>42948</v>
      </c>
      <c r="K545" s="163">
        <v>162013.01</v>
      </c>
      <c r="M545" s="147"/>
      <c r="N545" s="458">
        <f t="shared" si="3"/>
        <v>166879.00839597505</v>
      </c>
    </row>
    <row r="546" spans="1:14" x14ac:dyDescent="0.2">
      <c r="A546" s="728">
        <v>43130</v>
      </c>
      <c r="B546" s="331">
        <v>327084</v>
      </c>
      <c r="F546" s="318">
        <v>42979</v>
      </c>
      <c r="G546" s="124">
        <v>178964.63</v>
      </c>
      <c r="H546" s="163">
        <v>163493.49</v>
      </c>
      <c r="J546" s="318">
        <v>42979</v>
      </c>
      <c r="K546" s="163">
        <v>163493.49</v>
      </c>
      <c r="M546" s="147"/>
      <c r="N546" s="458">
        <f t="shared" si="3"/>
        <v>167713.40343795493</v>
      </c>
    </row>
    <row r="547" spans="1:14" x14ac:dyDescent="0.2">
      <c r="A547" s="728">
        <v>43131</v>
      </c>
      <c r="B547" s="331">
        <v>337130.63</v>
      </c>
      <c r="F547" s="318">
        <v>43009</v>
      </c>
      <c r="G547" s="124">
        <v>199171.39</v>
      </c>
      <c r="H547" s="163">
        <v>164090.28</v>
      </c>
      <c r="J547" s="318">
        <v>43009</v>
      </c>
      <c r="K547" s="163">
        <v>164090.28</v>
      </c>
      <c r="M547" s="147"/>
      <c r="N547" s="458">
        <f t="shared" si="3"/>
        <v>168551.97045514471</v>
      </c>
    </row>
    <row r="548" spans="1:14" x14ac:dyDescent="0.2">
      <c r="A548" s="728">
        <v>43132</v>
      </c>
      <c r="B548" s="331">
        <v>334292.59999999998</v>
      </c>
      <c r="F548" s="318">
        <v>43040</v>
      </c>
      <c r="G548" s="124">
        <v>180584.58</v>
      </c>
      <c r="H548" s="163">
        <v>164908.01</v>
      </c>
      <c r="J548" s="318">
        <v>43040</v>
      </c>
      <c r="K548" s="163">
        <v>164908.01</v>
      </c>
      <c r="M548" s="147"/>
      <c r="N548" s="458">
        <f t="shared" si="3"/>
        <v>169394.73030742042</v>
      </c>
    </row>
    <row r="549" spans="1:14" x14ac:dyDescent="0.2">
      <c r="A549" s="728">
        <v>43133</v>
      </c>
      <c r="B549" s="331">
        <v>335977.23</v>
      </c>
      <c r="F549" s="318">
        <v>43070</v>
      </c>
      <c r="G549" s="124">
        <v>258260.86</v>
      </c>
      <c r="H549" s="163">
        <v>164937.87</v>
      </c>
      <c r="J549" s="318">
        <v>43070</v>
      </c>
      <c r="K549" s="163">
        <v>164937.87</v>
      </c>
      <c r="N549" s="458">
        <f t="shared" si="3"/>
        <v>170241.70395895751</v>
      </c>
    </row>
    <row r="550" spans="1:14" x14ac:dyDescent="0.2">
      <c r="A550" s="728">
        <v>43136</v>
      </c>
      <c r="B550" s="331">
        <v>300614.99</v>
      </c>
      <c r="F550" s="318">
        <v>43101</v>
      </c>
      <c r="G550" s="124">
        <v>297556.56</v>
      </c>
      <c r="H550" s="163">
        <v>167966.33</v>
      </c>
      <c r="J550" s="318">
        <v>43101</v>
      </c>
      <c r="K550" s="163">
        <v>167966.33</v>
      </c>
      <c r="N550" s="458">
        <f t="shared" si="3"/>
        <v>171092.91247875229</v>
      </c>
    </row>
    <row r="551" spans="1:14" x14ac:dyDescent="0.2">
      <c r="A551" s="728">
        <v>43137</v>
      </c>
      <c r="B551" s="331">
        <v>295509.53999999998</v>
      </c>
      <c r="F551" s="318">
        <v>43132</v>
      </c>
      <c r="G551" s="124">
        <v>287550</v>
      </c>
      <c r="H551" s="163">
        <v>164746.72</v>
      </c>
      <c r="J551" s="318">
        <v>43132</v>
      </c>
      <c r="K551" s="163">
        <v>164746.72</v>
      </c>
      <c r="N551" s="458">
        <f t="shared" si="3"/>
        <v>171948.37704114604</v>
      </c>
    </row>
    <row r="552" spans="1:14" x14ac:dyDescent="0.2">
      <c r="A552" s="728">
        <v>43138</v>
      </c>
      <c r="B552" s="331">
        <v>295510</v>
      </c>
      <c r="F552" s="318">
        <v>43160</v>
      </c>
      <c r="G552" s="124">
        <v>277699.34999999998</v>
      </c>
      <c r="H552" s="163">
        <v>163400.39000000001</v>
      </c>
      <c r="J552" s="318">
        <v>43160</v>
      </c>
      <c r="K552" s="163">
        <v>163400.39000000001</v>
      </c>
      <c r="M552" s="163"/>
      <c r="N552" s="458">
        <f t="shared" si="3"/>
        <v>172808.11892635177</v>
      </c>
    </row>
    <row r="553" spans="1:14" x14ac:dyDescent="0.2">
      <c r="A553" s="728">
        <v>43139</v>
      </c>
      <c r="B553" s="331">
        <v>295623.09999999998</v>
      </c>
      <c r="F553" s="318">
        <v>43191</v>
      </c>
      <c r="G553" s="124">
        <v>310068.02</v>
      </c>
      <c r="H553" s="163">
        <v>163874.63</v>
      </c>
      <c r="J553" s="318">
        <v>43191</v>
      </c>
      <c r="K553" s="163">
        <v>163874.63</v>
      </c>
      <c r="N553" s="458">
        <f t="shared" si="3"/>
        <v>173672.15952098352</v>
      </c>
    </row>
    <row r="554" spans="1:14" x14ac:dyDescent="0.2">
      <c r="A554" s="728">
        <v>43140</v>
      </c>
      <c r="B554" s="331">
        <v>295623</v>
      </c>
      <c r="F554" s="318">
        <v>43221</v>
      </c>
      <c r="G554" s="124">
        <v>338828.68</v>
      </c>
      <c r="H554" s="163">
        <v>165109.67000000001</v>
      </c>
      <c r="J554" s="318">
        <v>43221</v>
      </c>
      <c r="K554" s="163">
        <v>165109.67000000001</v>
      </c>
      <c r="M554" s="124"/>
      <c r="N554" s="458">
        <f t="shared" si="3"/>
        <v>174540.52031858845</v>
      </c>
    </row>
    <row r="555" spans="1:14" x14ac:dyDescent="0.2">
      <c r="A555" s="728">
        <v>43143</v>
      </c>
      <c r="B555" s="331">
        <v>299232.09999999998</v>
      </c>
      <c r="F555" s="318">
        <v>43252</v>
      </c>
      <c r="G555" s="124">
        <v>316601.96000000002</v>
      </c>
      <c r="H555" s="163">
        <v>164894.5</v>
      </c>
      <c r="J555" s="318">
        <v>43252</v>
      </c>
      <c r="K555" s="163">
        <v>164894.5</v>
      </c>
      <c r="N555" s="458">
        <f t="shared" si="3"/>
        <v>175413.22292018138</v>
      </c>
    </row>
    <row r="556" spans="1:14" x14ac:dyDescent="0.2">
      <c r="A556" s="728">
        <v>43144</v>
      </c>
      <c r="B556" s="331">
        <v>304422.01</v>
      </c>
      <c r="F556" s="318">
        <v>43282</v>
      </c>
      <c r="G556" s="124">
        <v>282196.90999999997</v>
      </c>
      <c r="H556" s="163">
        <v>168308.43</v>
      </c>
      <c r="J556" s="318">
        <v>43282</v>
      </c>
      <c r="K556" s="163">
        <v>168308.43</v>
      </c>
      <c r="M556" s="253"/>
      <c r="N556" s="458">
        <f t="shared" si="3"/>
        <v>176290.28903478227</v>
      </c>
    </row>
    <row r="557" spans="1:14" x14ac:dyDescent="0.2">
      <c r="A557" s="728">
        <v>43145</v>
      </c>
      <c r="B557" s="331">
        <v>330191.24</v>
      </c>
      <c r="F557" s="318">
        <v>43313</v>
      </c>
      <c r="G557" s="124">
        <v>287391.71999999997</v>
      </c>
      <c r="H557" s="163">
        <v>169314.31</v>
      </c>
      <c r="J557" s="318">
        <v>43313</v>
      </c>
      <c r="K557" s="163">
        <v>169314.31</v>
      </c>
      <c r="N557" s="458">
        <f t="shared" si="3"/>
        <v>177171.74047995618</v>
      </c>
    </row>
    <row r="558" spans="1:14" x14ac:dyDescent="0.2">
      <c r="A558" s="728">
        <v>43146</v>
      </c>
      <c r="B558" s="331">
        <v>313471.64</v>
      </c>
      <c r="F558" s="318">
        <v>43344</v>
      </c>
      <c r="G558" s="124">
        <v>327095.84000000003</v>
      </c>
      <c r="H558" s="163">
        <v>170138.99</v>
      </c>
      <c r="J558" s="318">
        <v>43344</v>
      </c>
      <c r="K558" s="163">
        <v>170138.99</v>
      </c>
      <c r="N558" s="458">
        <f t="shared" si="3"/>
        <v>178057.59918235595</v>
      </c>
    </row>
    <row r="559" spans="1:14" x14ac:dyDescent="0.2">
      <c r="A559" s="728">
        <v>43147</v>
      </c>
      <c r="B559" s="331">
        <v>313472</v>
      </c>
      <c r="F559" s="318">
        <v>43374</v>
      </c>
      <c r="G559" s="124">
        <v>233504.28</v>
      </c>
      <c r="H559" s="163">
        <v>164332.01</v>
      </c>
      <c r="J559" s="318">
        <v>43374</v>
      </c>
      <c r="K559" s="163">
        <v>164332.01</v>
      </c>
      <c r="N559" s="458">
        <f t="shared" si="3"/>
        <v>178947.88717826773</v>
      </c>
    </row>
    <row r="560" spans="1:14" x14ac:dyDescent="0.2">
      <c r="A560" s="728">
        <v>43150</v>
      </c>
      <c r="B560" s="331">
        <v>313472</v>
      </c>
      <c r="F560" s="318">
        <v>43405</v>
      </c>
      <c r="G560" s="124">
        <v>166530.44</v>
      </c>
      <c r="H560" s="163">
        <v>166031.76999999999</v>
      </c>
      <c r="J560" s="318">
        <v>43405</v>
      </c>
      <c r="K560" s="163">
        <v>166031.76999999999</v>
      </c>
      <c r="N560" s="458">
        <f t="shared" si="3"/>
        <v>179842.62661415906</v>
      </c>
    </row>
    <row r="561" spans="1:14" x14ac:dyDescent="0.2">
      <c r="A561" s="728">
        <v>43151</v>
      </c>
      <c r="B561" s="331">
        <v>277471.58</v>
      </c>
      <c r="F561" s="318">
        <v>43435</v>
      </c>
      <c r="G561" s="124">
        <v>245292.72</v>
      </c>
      <c r="H561" s="163">
        <v>159621.23000000001</v>
      </c>
      <c r="J561" s="318">
        <v>43435</v>
      </c>
      <c r="K561" s="163">
        <v>159621.23000000001</v>
      </c>
      <c r="N561" s="458">
        <f t="shared" si="3"/>
        <v>180741.83974722985</v>
      </c>
    </row>
    <row r="562" spans="1:14" x14ac:dyDescent="0.2">
      <c r="A562" s="728">
        <v>43152</v>
      </c>
      <c r="B562" s="331">
        <v>287526.92</v>
      </c>
      <c r="F562" s="318">
        <v>43466</v>
      </c>
      <c r="G562" s="124">
        <v>322895</v>
      </c>
      <c r="H562" s="163">
        <v>166873.93</v>
      </c>
      <c r="J562" s="318">
        <v>43466</v>
      </c>
      <c r="K562" s="163">
        <v>166873.93</v>
      </c>
      <c r="N562" s="458">
        <f t="shared" si="3"/>
        <v>181645.548945966</v>
      </c>
    </row>
    <row r="563" spans="1:14" x14ac:dyDescent="0.2">
      <c r="A563" s="728">
        <v>43153</v>
      </c>
      <c r="B563" s="331">
        <v>296486.64</v>
      </c>
      <c r="F563" s="318">
        <v>43497</v>
      </c>
      <c r="G563" s="124">
        <v>388590.24</v>
      </c>
      <c r="H563" s="163">
        <v>170486.28</v>
      </c>
      <c r="J563" s="318">
        <v>43497</v>
      </c>
      <c r="K563" s="163">
        <v>170486.28</v>
      </c>
      <c r="N563" s="458">
        <f t="shared" si="3"/>
        <v>182553.77669069584</v>
      </c>
    </row>
    <row r="564" spans="1:14" x14ac:dyDescent="0.2">
      <c r="A564" s="728">
        <v>43154</v>
      </c>
      <c r="B564" s="331">
        <v>296487</v>
      </c>
      <c r="F564" s="318">
        <v>43525</v>
      </c>
      <c r="G564" s="124">
        <v>244069.19</v>
      </c>
      <c r="H564" s="163">
        <v>171537.16</v>
      </c>
      <c r="J564" s="318">
        <v>43525</v>
      </c>
      <c r="K564" s="163">
        <v>171537.16</v>
      </c>
      <c r="N564" s="458">
        <f t="shared" si="3"/>
        <v>183466.54557414932</v>
      </c>
    </row>
    <row r="565" spans="1:14" x14ac:dyDescent="0.2">
      <c r="A565" s="728">
        <v>43157</v>
      </c>
      <c r="B565" s="331">
        <v>296487</v>
      </c>
      <c r="F565" s="318">
        <v>43556</v>
      </c>
      <c r="G565" s="124">
        <v>265093.77</v>
      </c>
      <c r="H565" s="163">
        <v>174601.21</v>
      </c>
      <c r="J565" s="318">
        <v>43556</v>
      </c>
      <c r="K565" s="163">
        <v>174601.21</v>
      </c>
      <c r="N565" s="458">
        <f t="shared" si="3"/>
        <v>184383.87830202008</v>
      </c>
    </row>
    <row r="566" spans="1:14" x14ac:dyDescent="0.2">
      <c r="A566" s="728">
        <v>43158</v>
      </c>
      <c r="B566" s="331">
        <v>335911.5</v>
      </c>
      <c r="F566" s="318">
        <v>43586</v>
      </c>
      <c r="G566" s="124">
        <v>218979.44</v>
      </c>
      <c r="H566" s="163">
        <v>169831.32</v>
      </c>
      <c r="J566" s="318">
        <v>43586</v>
      </c>
      <c r="K566" s="163">
        <v>169831.32</v>
      </c>
      <c r="N566" s="458">
        <f t="shared" si="3"/>
        <v>185305.79769353018</v>
      </c>
    </row>
    <row r="567" spans="1:14" x14ac:dyDescent="0.2">
      <c r="A567" s="728">
        <v>43159</v>
      </c>
      <c r="B567" s="331">
        <v>335912</v>
      </c>
      <c r="F567" s="318">
        <v>43617</v>
      </c>
      <c r="G567" s="124">
        <v>271553.78999999998</v>
      </c>
      <c r="H567" s="163">
        <v>175962.43</v>
      </c>
      <c r="J567" s="318">
        <v>43617</v>
      </c>
      <c r="K567" s="163">
        <v>175962.43</v>
      </c>
      <c r="N567" s="458">
        <f t="shared" si="3"/>
        <v>186232.32668199783</v>
      </c>
    </row>
    <row r="568" spans="1:14" x14ac:dyDescent="0.2">
      <c r="A568" s="728">
        <v>43160</v>
      </c>
      <c r="B568" s="331">
        <v>330042.21999999997</v>
      </c>
      <c r="F568" s="318">
        <v>43647</v>
      </c>
      <c r="G568" s="124">
        <v>272625.19</v>
      </c>
      <c r="H568" s="163">
        <v>176392.07</v>
      </c>
      <c r="J568" s="318">
        <v>43647</v>
      </c>
      <c r="K568" s="163">
        <v>176392.07</v>
      </c>
      <c r="N568" s="458">
        <f t="shared" si="3"/>
        <v>187163.48831540783</v>
      </c>
    </row>
    <row r="569" spans="1:14" x14ac:dyDescent="0.2">
      <c r="A569" s="728">
        <v>43161</v>
      </c>
      <c r="B569" s="364">
        <v>367034.5</v>
      </c>
      <c r="F569" s="318">
        <v>43678</v>
      </c>
      <c r="G569" s="124">
        <v>249105.04</v>
      </c>
      <c r="H569" s="163">
        <v>174581.16</v>
      </c>
      <c r="J569" s="318">
        <v>43678</v>
      </c>
      <c r="K569" s="163">
        <v>174581</v>
      </c>
      <c r="N569" s="458">
        <f t="shared" si="3"/>
        <v>188099.30575698486</v>
      </c>
    </row>
    <row r="570" spans="1:14" x14ac:dyDescent="0.2">
      <c r="A570" s="728">
        <v>43164</v>
      </c>
      <c r="B570" s="331">
        <v>330990.42</v>
      </c>
      <c r="F570" s="318">
        <v>43709</v>
      </c>
      <c r="G570" s="124">
        <v>224675.57</v>
      </c>
      <c r="H570" s="163">
        <v>175832.82</v>
      </c>
      <c r="J570" s="318">
        <v>43709</v>
      </c>
      <c r="K570" s="163">
        <v>175832.82</v>
      </c>
      <c r="N570" s="458">
        <f t="shared" si="3"/>
        <v>189039.80228576978</v>
      </c>
    </row>
    <row r="571" spans="1:14" x14ac:dyDescent="0.2">
      <c r="A571" s="728">
        <v>43165</v>
      </c>
      <c r="B571" s="331">
        <v>333065.89</v>
      </c>
      <c r="F571" s="318">
        <v>43739</v>
      </c>
      <c r="G571" s="124">
        <f>250597.51-10616</f>
        <v>239981.51</v>
      </c>
      <c r="H571" s="163">
        <v>176684.91</v>
      </c>
      <c r="J571" s="318">
        <v>43739</v>
      </c>
      <c r="K571" s="163">
        <v>176684.91</v>
      </c>
      <c r="N571" s="458">
        <f t="shared" si="3"/>
        <v>189985.00129719861</v>
      </c>
    </row>
    <row r="572" spans="1:14" x14ac:dyDescent="0.2">
      <c r="A572" s="728">
        <v>43166</v>
      </c>
      <c r="B572" s="331">
        <v>331065.89</v>
      </c>
      <c r="F572" s="318">
        <v>43770</v>
      </c>
      <c r="G572" s="124">
        <f>213081.72-10616</f>
        <v>202465.72</v>
      </c>
      <c r="H572" s="163">
        <v>180686.55</v>
      </c>
      <c r="J572" s="318">
        <v>43770</v>
      </c>
      <c r="K572" s="163">
        <v>180686.55</v>
      </c>
      <c r="N572" s="458">
        <f t="shared" si="3"/>
        <v>190934.9263036846</v>
      </c>
    </row>
    <row r="573" spans="1:14" x14ac:dyDescent="0.2">
      <c r="A573" s="728">
        <v>43167</v>
      </c>
      <c r="B573" s="331">
        <v>331092.17</v>
      </c>
      <c r="F573" s="318">
        <v>43800</v>
      </c>
      <c r="G573" s="124">
        <v>298881.24</v>
      </c>
      <c r="H573" s="163">
        <v>184417.26</v>
      </c>
      <c r="J573" s="318">
        <v>43800</v>
      </c>
      <c r="K573" s="163">
        <v>184417.26</v>
      </c>
      <c r="N573" s="458">
        <f t="shared" si="3"/>
        <v>191889.60093520302</v>
      </c>
    </row>
    <row r="574" spans="1:14" x14ac:dyDescent="0.2">
      <c r="A574" s="728">
        <v>43168</v>
      </c>
      <c r="B574" s="331">
        <v>311733.17</v>
      </c>
      <c r="F574" s="318">
        <v>43831</v>
      </c>
      <c r="G574" s="124">
        <v>326352.59000000003</v>
      </c>
      <c r="H574" s="163">
        <v>186588.03</v>
      </c>
      <c r="J574" s="318">
        <v>43831</v>
      </c>
      <c r="K574" s="163">
        <v>186588.03</v>
      </c>
      <c r="N574" s="458">
        <f t="shared" si="3"/>
        <v>192849.04893987905</v>
      </c>
    </row>
    <row r="575" spans="1:14" x14ac:dyDescent="0.2">
      <c r="A575" s="728">
        <v>43171</v>
      </c>
      <c r="B575" s="331">
        <v>317116.19</v>
      </c>
      <c r="F575" s="318">
        <v>43862</v>
      </c>
      <c r="G575" s="124">
        <v>247842.14</v>
      </c>
      <c r="H575" s="163">
        <v>177685.24</v>
      </c>
      <c r="J575" s="318">
        <v>43862</v>
      </c>
      <c r="K575" s="163">
        <v>177685.24</v>
      </c>
      <c r="N575" s="458">
        <f t="shared" si="3"/>
        <v>193813.29418457844</v>
      </c>
    </row>
    <row r="576" spans="1:14" x14ac:dyDescent="0.2">
      <c r="A576" s="728">
        <v>43172</v>
      </c>
      <c r="B576" s="331">
        <v>317116</v>
      </c>
      <c r="F576" s="318">
        <v>43891</v>
      </c>
      <c r="G576" s="124">
        <v>256001.05</v>
      </c>
      <c r="H576" s="163">
        <v>162398.81</v>
      </c>
      <c r="J576" s="318">
        <v>43891</v>
      </c>
      <c r="K576" s="163">
        <v>162398.81</v>
      </c>
      <c r="N576" s="458">
        <f t="shared" si="3"/>
        <v>194782.36065550134</v>
      </c>
    </row>
    <row r="577" spans="1:14" x14ac:dyDescent="0.2">
      <c r="A577" s="728">
        <v>43173</v>
      </c>
      <c r="B577" s="331">
        <v>317496.19</v>
      </c>
      <c r="F577" s="318">
        <v>43922</v>
      </c>
      <c r="G577" s="124">
        <v>319553.11</v>
      </c>
      <c r="H577" s="163">
        <v>175055.83</v>
      </c>
      <c r="J577" s="318">
        <v>43922</v>
      </c>
      <c r="K577" s="163">
        <v>175055.83</v>
      </c>
      <c r="L577" s="147"/>
      <c r="N577" s="458">
        <f t="shared" si="3"/>
        <v>195756.27245877884</v>
      </c>
    </row>
    <row r="578" spans="1:14" x14ac:dyDescent="0.2">
      <c r="A578" s="728">
        <v>43174</v>
      </c>
      <c r="B578" s="331">
        <v>317772.45</v>
      </c>
      <c r="F578" s="318">
        <v>43952</v>
      </c>
      <c r="G578" s="124">
        <v>373887.89</v>
      </c>
      <c r="H578" s="163">
        <v>180640.71</v>
      </c>
      <c r="J578" s="318">
        <v>43952</v>
      </c>
      <c r="K578" s="163">
        <v>180640.71</v>
      </c>
      <c r="L578" s="147"/>
      <c r="N578" s="458">
        <f t="shared" si="3"/>
        <v>196735.05382107274</v>
      </c>
    </row>
    <row r="579" spans="1:14" x14ac:dyDescent="0.2">
      <c r="A579" s="728">
        <v>43175</v>
      </c>
      <c r="B579" s="331">
        <v>317772</v>
      </c>
      <c r="C579" s="341"/>
      <c r="D579" s="331"/>
      <c r="F579" s="318">
        <v>43983</v>
      </c>
      <c r="G579" s="124">
        <v>387259.9</v>
      </c>
      <c r="H579" s="163">
        <v>183627.14</v>
      </c>
      <c r="J579" s="318">
        <v>43983</v>
      </c>
      <c r="K579" s="163">
        <v>183627.14</v>
      </c>
      <c r="L579" s="147"/>
      <c r="N579" s="458">
        <f t="shared" si="3"/>
        <v>197718.72909017809</v>
      </c>
    </row>
    <row r="580" spans="1:14" x14ac:dyDescent="0.2">
      <c r="A580" s="728">
        <v>43178</v>
      </c>
      <c r="B580" s="331">
        <v>279446.55</v>
      </c>
      <c r="C580" s="341"/>
      <c r="D580" s="331"/>
      <c r="F580" s="318">
        <v>44013</v>
      </c>
      <c r="G580" s="124">
        <v>393896.48</v>
      </c>
      <c r="H580" s="163">
        <v>191310.14</v>
      </c>
      <c r="J580" s="318">
        <v>44013</v>
      </c>
      <c r="K580" s="163">
        <v>191310.14</v>
      </c>
      <c r="L580" s="147"/>
      <c r="N580" s="458">
        <f t="shared" si="3"/>
        <v>198707.32273562899</v>
      </c>
    </row>
    <row r="581" spans="1:14" x14ac:dyDescent="0.2">
      <c r="A581" s="728">
        <v>43179</v>
      </c>
      <c r="B581" s="331">
        <v>272785.62</v>
      </c>
      <c r="C581" s="341"/>
      <c r="D581" s="331"/>
      <c r="F581" s="318">
        <v>44044</v>
      </c>
      <c r="G581" s="124">
        <v>318622.86</v>
      </c>
      <c r="H581" s="163">
        <v>196731.42</v>
      </c>
      <c r="J581" s="318">
        <v>44044</v>
      </c>
      <c r="K581" s="163">
        <v>196731.42</v>
      </c>
      <c r="L581" s="147"/>
      <c r="N581" s="458">
        <f t="shared" si="3"/>
        <v>199700.85934930714</v>
      </c>
    </row>
    <row r="582" spans="1:14" x14ac:dyDescent="0.2">
      <c r="A582" s="728">
        <v>43180</v>
      </c>
      <c r="B582" s="331">
        <v>288240.15999999997</v>
      </c>
      <c r="C582" s="341"/>
      <c r="D582" s="331"/>
      <c r="F582" s="318">
        <v>44075</v>
      </c>
      <c r="G582" s="124">
        <v>310792.11</v>
      </c>
      <c r="H582" s="163">
        <v>192424.98</v>
      </c>
      <c r="J582" s="318">
        <v>44075</v>
      </c>
      <c r="K582" s="163">
        <v>192424.98</v>
      </c>
      <c r="L582" s="147"/>
      <c r="N582" s="458">
        <f t="shared" si="3"/>
        <v>200699.36364605368</v>
      </c>
    </row>
    <row r="583" spans="1:14" x14ac:dyDescent="0.2">
      <c r="A583" s="728">
        <v>43181</v>
      </c>
      <c r="B583" s="331">
        <v>278742.74</v>
      </c>
      <c r="C583" s="341"/>
      <c r="D583" s="331"/>
      <c r="F583" s="318">
        <v>44105</v>
      </c>
      <c r="G583" s="124">
        <v>337545.3</v>
      </c>
      <c r="H583" s="163">
        <v>189044.54</v>
      </c>
      <c r="J583" s="318">
        <v>44105</v>
      </c>
      <c r="K583" s="163">
        <v>189044.54</v>
      </c>
      <c r="L583" s="147"/>
      <c r="N583" s="458">
        <f t="shared" si="3"/>
        <v>201702.86046428393</v>
      </c>
    </row>
    <row r="584" spans="1:14" x14ac:dyDescent="0.2">
      <c r="A584" s="728">
        <v>43182</v>
      </c>
      <c r="B584" s="331">
        <v>278840.24</v>
      </c>
      <c r="C584" s="341"/>
      <c r="D584" s="331"/>
      <c r="F584" s="318">
        <v>44136</v>
      </c>
      <c r="G584" s="124">
        <v>407385.79</v>
      </c>
      <c r="H584" s="163">
        <v>201253.81</v>
      </c>
      <c r="J584" s="318">
        <v>44136</v>
      </c>
      <c r="K584" s="163">
        <v>201253.81</v>
      </c>
      <c r="L584" s="147"/>
      <c r="N584" s="458">
        <f t="shared" si="3"/>
        <v>202711.37476660535</v>
      </c>
    </row>
    <row r="585" spans="1:14" x14ac:dyDescent="0.2">
      <c r="A585" s="728">
        <v>43185</v>
      </c>
      <c r="B585" s="331">
        <v>278942.24</v>
      </c>
      <c r="C585" s="341"/>
      <c r="D585" s="331"/>
      <c r="F585" s="318">
        <v>44166</v>
      </c>
      <c r="G585" s="124">
        <v>325944.61</v>
      </c>
      <c r="H585" s="163">
        <v>206549.06</v>
      </c>
      <c r="J585" s="318">
        <v>44166</v>
      </c>
      <c r="K585" s="163">
        <v>206549.06</v>
      </c>
      <c r="L585" s="147"/>
      <c r="N585" s="458">
        <f t="shared" si="3"/>
        <v>203724.93164043839</v>
      </c>
    </row>
    <row r="586" spans="1:14" x14ac:dyDescent="0.2">
      <c r="A586" s="728">
        <v>43186</v>
      </c>
      <c r="B586" s="331">
        <v>257048.49</v>
      </c>
      <c r="C586" s="341"/>
      <c r="D586" s="331"/>
      <c r="F586" s="318">
        <v>44197</v>
      </c>
      <c r="G586" s="124">
        <v>416865.56</v>
      </c>
      <c r="H586" s="163">
        <v>204163.62</v>
      </c>
      <c r="J586" s="318">
        <v>44197</v>
      </c>
      <c r="K586" s="163">
        <v>204163.62</v>
      </c>
      <c r="L586" s="147"/>
      <c r="N586" s="458">
        <f t="shared" si="3"/>
        <v>204743.55629864059</v>
      </c>
    </row>
    <row r="587" spans="1:14" x14ac:dyDescent="0.2">
      <c r="A587" s="728">
        <v>43187</v>
      </c>
      <c r="B587" s="331">
        <v>252662.47</v>
      </c>
      <c r="C587" s="341"/>
      <c r="D587" s="331"/>
      <c r="F587" s="318">
        <v>44228</v>
      </c>
      <c r="G587" s="124">
        <v>403762.36</v>
      </c>
      <c r="H587" s="163">
        <v>207045.8</v>
      </c>
      <c r="J587" s="318">
        <v>44228</v>
      </c>
      <c r="K587" s="163">
        <v>207045.8</v>
      </c>
      <c r="L587" s="147"/>
      <c r="N587" s="458">
        <f t="shared" si="3"/>
        <v>205767.27408013379</v>
      </c>
    </row>
    <row r="588" spans="1:14" x14ac:dyDescent="0.2">
      <c r="A588" s="728">
        <v>43188</v>
      </c>
      <c r="B588" s="331">
        <v>254708.73</v>
      </c>
      <c r="C588" s="341"/>
      <c r="D588" s="331"/>
      <c r="F588" s="318">
        <v>44256</v>
      </c>
      <c r="G588" s="124">
        <v>218522.99</v>
      </c>
      <c r="H588" s="163">
        <v>211866.05</v>
      </c>
      <c r="J588" s="318">
        <v>44256</v>
      </c>
      <c r="K588" s="163">
        <v>211866.05</v>
      </c>
      <c r="L588" s="147"/>
      <c r="N588" s="458">
        <f t="shared" si="3"/>
        <v>206796.11045053447</v>
      </c>
    </row>
    <row r="589" spans="1:14" x14ac:dyDescent="0.2">
      <c r="A589" s="728">
        <v>43189</v>
      </c>
      <c r="B589" s="331">
        <v>281702.86</v>
      </c>
      <c r="C589" s="341"/>
      <c r="D589" s="331"/>
      <c r="F589" s="318">
        <v>44287</v>
      </c>
      <c r="G589" s="124">
        <v>281784.46000000002</v>
      </c>
      <c r="H589" s="163">
        <v>218448.38</v>
      </c>
      <c r="J589" s="318">
        <v>44287</v>
      </c>
      <c r="K589" s="163">
        <v>218448.38</v>
      </c>
      <c r="L589" s="147"/>
      <c r="N589" s="458">
        <f>N$525*N588/12 +N588+100000</f>
        <v>307830.09100278711</v>
      </c>
    </row>
    <row r="590" spans="1:14" x14ac:dyDescent="0.2">
      <c r="A590" s="728">
        <v>43192</v>
      </c>
      <c r="B590" s="331">
        <v>244220.77</v>
      </c>
      <c r="C590" s="341"/>
      <c r="D590" s="331"/>
      <c r="F590" s="318">
        <v>44317</v>
      </c>
      <c r="G590" s="124">
        <v>231705.38</v>
      </c>
      <c r="H590" s="163">
        <v>222184.92</v>
      </c>
      <c r="J590" s="318">
        <v>44317</v>
      </c>
      <c r="K590" s="163">
        <f>222185</f>
        <v>222185</v>
      </c>
      <c r="L590" s="147"/>
      <c r="N590" s="458">
        <f t="shared" si="3"/>
        <v>309369.24145780102</v>
      </c>
    </row>
    <row r="591" spans="1:14" x14ac:dyDescent="0.2">
      <c r="A591" s="728">
        <v>43193</v>
      </c>
      <c r="B591" s="331">
        <v>244221</v>
      </c>
      <c r="C591" s="341"/>
      <c r="D591" s="331"/>
      <c r="F591" s="318">
        <v>44348</v>
      </c>
      <c r="G591" s="124">
        <v>254786.13</v>
      </c>
      <c r="H591" s="163">
        <v>222449.07</v>
      </c>
      <c r="J591" s="318">
        <v>44348</v>
      </c>
      <c r="K591" s="163">
        <v>222449.07</v>
      </c>
      <c r="L591" s="147"/>
      <c r="N591" s="458">
        <f t="shared" si="3"/>
        <v>310916.08766509005</v>
      </c>
    </row>
    <row r="592" spans="1:14" x14ac:dyDescent="0.2">
      <c r="A592" s="728">
        <v>43194</v>
      </c>
      <c r="B592" s="331">
        <v>244221</v>
      </c>
      <c r="C592" s="341"/>
      <c r="D592" s="331"/>
      <c r="F592" s="318">
        <v>44378</v>
      </c>
      <c r="G592" s="124">
        <v>323671.89</v>
      </c>
      <c r="H592" s="163">
        <v>325177.46999999997</v>
      </c>
      <c r="J592" s="318">
        <v>44378</v>
      </c>
      <c r="K592" s="163">
        <v>325177.46999999997</v>
      </c>
      <c r="L592" s="147"/>
      <c r="N592" s="458">
        <f t="shared" ref="N592:N596" si="4">N$525*N591/12 +N591</f>
        <v>312470.66810341552</v>
      </c>
    </row>
    <row r="593" spans="1:14" x14ac:dyDescent="0.2">
      <c r="A593" s="728">
        <v>43195</v>
      </c>
      <c r="B593" s="331">
        <v>225503.87</v>
      </c>
      <c r="C593" s="341"/>
      <c r="D593" s="331"/>
      <c r="F593" s="318">
        <v>44409</v>
      </c>
      <c r="G593" s="124">
        <v>334383.06</v>
      </c>
      <c r="H593" s="163">
        <v>329419.45</v>
      </c>
      <c r="J593" s="318">
        <v>44409</v>
      </c>
      <c r="K593" s="163">
        <v>329419.45</v>
      </c>
      <c r="L593" s="147"/>
      <c r="N593" s="458">
        <f t="shared" si="4"/>
        <v>314033.02144393261</v>
      </c>
    </row>
    <row r="594" spans="1:14" x14ac:dyDescent="0.2">
      <c r="A594" s="728">
        <v>43196</v>
      </c>
      <c r="B594" s="331">
        <v>225504</v>
      </c>
      <c r="C594" s="341"/>
      <c r="D594" s="331"/>
      <c r="F594" s="318">
        <v>44440</v>
      </c>
      <c r="G594" s="124">
        <v>325598.5</v>
      </c>
      <c r="H594" s="163">
        <v>318755.06</v>
      </c>
      <c r="J594" s="318">
        <v>44440</v>
      </c>
      <c r="K594" s="163">
        <v>318755.06</v>
      </c>
      <c r="L594" s="147"/>
      <c r="N594" s="458">
        <f t="shared" si="4"/>
        <v>315603.18655115226</v>
      </c>
    </row>
    <row r="595" spans="1:14" x14ac:dyDescent="0.2">
      <c r="A595" s="728">
        <v>43199</v>
      </c>
      <c r="B595" s="331">
        <v>225503.8</v>
      </c>
      <c r="C595" s="341"/>
      <c r="D595" s="331"/>
      <c r="F595" s="318">
        <v>44470</v>
      </c>
      <c r="G595" s="124">
        <v>397934.47</v>
      </c>
      <c r="H595" s="163">
        <v>329502.62</v>
      </c>
      <c r="J595" s="318">
        <v>44470</v>
      </c>
      <c r="K595" s="163">
        <v>329502.62</v>
      </c>
      <c r="L595" s="147"/>
      <c r="N595" s="458">
        <f t="shared" si="4"/>
        <v>317181.20248390804</v>
      </c>
    </row>
    <row r="596" spans="1:14" x14ac:dyDescent="0.2">
      <c r="A596" s="728">
        <v>43200</v>
      </c>
      <c r="B596" s="331">
        <v>227389.96</v>
      </c>
      <c r="C596" s="341"/>
      <c r="D596" s="331"/>
      <c r="F596" s="318">
        <v>44501</v>
      </c>
      <c r="G596" s="124">
        <v>304557.78000000003</v>
      </c>
      <c r="H596" s="163">
        <v>323833.99</v>
      </c>
      <c r="J596" s="318">
        <v>44501</v>
      </c>
      <c r="K596" s="163">
        <v>323833.99</v>
      </c>
      <c r="L596" s="147"/>
      <c r="N596" s="458">
        <f t="shared" si="4"/>
        <v>318767.10849632759</v>
      </c>
    </row>
    <row r="597" spans="1:14" x14ac:dyDescent="0.2">
      <c r="A597" s="728">
        <v>43201</v>
      </c>
      <c r="B597" s="331">
        <v>235472.53</v>
      </c>
      <c r="C597" s="341"/>
      <c r="D597" s="331"/>
      <c r="F597" s="318">
        <v>44531</v>
      </c>
      <c r="G597" s="124">
        <v>339829.81</v>
      </c>
      <c r="H597" s="163">
        <v>334446.53999999998</v>
      </c>
      <c r="J597" s="318">
        <v>44531</v>
      </c>
      <c r="K597" s="163">
        <v>334446.53999999998</v>
      </c>
      <c r="L597" s="147"/>
    </row>
    <row r="598" spans="1:14" x14ac:dyDescent="0.2">
      <c r="A598" s="728">
        <v>43202</v>
      </c>
      <c r="B598" s="331">
        <v>222207.84</v>
      </c>
      <c r="C598" s="341"/>
      <c r="D598" s="331"/>
      <c r="F598" s="318">
        <v>44562</v>
      </c>
      <c r="G598" s="124">
        <v>483670.84</v>
      </c>
      <c r="H598" s="163">
        <v>323933.77</v>
      </c>
      <c r="J598" s="318">
        <v>44562</v>
      </c>
      <c r="K598" s="163">
        <v>323933.77</v>
      </c>
      <c r="L598" s="147"/>
    </row>
    <row r="599" spans="1:14" x14ac:dyDescent="0.2">
      <c r="A599" s="728">
        <v>43203</v>
      </c>
      <c r="B599" s="331">
        <v>222287.93</v>
      </c>
      <c r="C599" s="341"/>
      <c r="D599" s="331"/>
      <c r="F599" s="318">
        <v>44593</v>
      </c>
      <c r="G599" s="124">
        <v>403181.63</v>
      </c>
      <c r="H599" s="163">
        <v>319586.55</v>
      </c>
      <c r="J599" s="318">
        <v>44593</v>
      </c>
      <c r="K599" s="163">
        <v>319586.55</v>
      </c>
      <c r="L599" s="147"/>
    </row>
    <row r="600" spans="1:14" x14ac:dyDescent="0.2">
      <c r="A600" s="728">
        <v>43206</v>
      </c>
      <c r="B600" s="331">
        <v>186664.28</v>
      </c>
      <c r="C600" s="341"/>
      <c r="D600" s="331"/>
      <c r="F600" s="318">
        <v>44621</v>
      </c>
      <c r="G600" s="124">
        <v>315833.28999999998</v>
      </c>
      <c r="H600" s="163">
        <v>422621.04</v>
      </c>
      <c r="J600" s="318">
        <v>44621</v>
      </c>
      <c r="K600" s="163">
        <v>422621.04</v>
      </c>
      <c r="L600" s="147"/>
    </row>
    <row r="601" spans="1:14" x14ac:dyDescent="0.2">
      <c r="A601" s="728">
        <v>43207</v>
      </c>
      <c r="B601" s="331">
        <v>188484.95</v>
      </c>
      <c r="C601" s="341"/>
      <c r="D601" s="331"/>
      <c r="F601" s="318">
        <v>44652</v>
      </c>
      <c r="G601" s="124">
        <v>327170</v>
      </c>
      <c r="H601" s="163">
        <v>399826.35</v>
      </c>
      <c r="J601" s="318">
        <v>44652</v>
      </c>
      <c r="K601" s="163">
        <v>399826.35</v>
      </c>
      <c r="L601" s="147"/>
    </row>
    <row r="602" spans="1:14" x14ac:dyDescent="0.2">
      <c r="A602" s="728">
        <v>43208</v>
      </c>
      <c r="B602" s="331">
        <v>188485</v>
      </c>
      <c r="C602" s="341"/>
      <c r="D602" s="331"/>
      <c r="F602" s="318">
        <v>44682</v>
      </c>
      <c r="G602" s="124">
        <v>246847.16</v>
      </c>
      <c r="H602" s="163">
        <v>404182.26</v>
      </c>
      <c r="J602" s="318">
        <v>44682</v>
      </c>
      <c r="K602" s="163">
        <v>404182.26</v>
      </c>
      <c r="L602" s="147"/>
    </row>
    <row r="603" spans="1:14" x14ac:dyDescent="0.2">
      <c r="A603" s="728">
        <v>43209</v>
      </c>
      <c r="B603" s="331">
        <v>180474.73</v>
      </c>
      <c r="C603" s="341"/>
      <c r="D603" s="331"/>
      <c r="F603" s="318">
        <v>44713</v>
      </c>
      <c r="G603" s="124">
        <v>274391.32</v>
      </c>
      <c r="H603" s="163">
        <v>378955.05</v>
      </c>
      <c r="J603" s="318">
        <v>44713</v>
      </c>
      <c r="K603" s="163">
        <v>378955.05</v>
      </c>
      <c r="L603" s="147"/>
    </row>
    <row r="604" spans="1:14" x14ac:dyDescent="0.2">
      <c r="A604" s="728">
        <v>43210</v>
      </c>
      <c r="B604" s="331">
        <v>188207.38</v>
      </c>
      <c r="C604" s="341"/>
      <c r="D604" s="331"/>
      <c r="F604" s="318">
        <v>44743</v>
      </c>
      <c r="G604" s="124">
        <v>311473.07</v>
      </c>
      <c r="H604" s="163">
        <v>395341.91</v>
      </c>
      <c r="J604" s="318">
        <v>44743</v>
      </c>
      <c r="K604" s="163">
        <v>395341.91</v>
      </c>
      <c r="L604" s="147"/>
    </row>
    <row r="605" spans="1:14" x14ac:dyDescent="0.2">
      <c r="A605" s="728">
        <v>43213</v>
      </c>
      <c r="B605" s="331">
        <v>198618.83</v>
      </c>
      <c r="C605" s="341"/>
      <c r="D605" s="331"/>
      <c r="F605" s="318">
        <v>44774</v>
      </c>
      <c r="G605" s="124">
        <v>246923.1</v>
      </c>
      <c r="H605" s="163">
        <v>382796.02</v>
      </c>
      <c r="J605" s="318">
        <v>44774</v>
      </c>
      <c r="K605" s="163">
        <v>382796.02</v>
      </c>
      <c r="L605" s="147"/>
    </row>
    <row r="606" spans="1:14" x14ac:dyDescent="0.2">
      <c r="A606" s="728">
        <v>43214</v>
      </c>
      <c r="B606" s="331">
        <v>198619</v>
      </c>
      <c r="C606" s="341"/>
      <c r="D606" s="331"/>
      <c r="F606" s="318">
        <v>44805</v>
      </c>
      <c r="G606" s="124">
        <v>214783.77</v>
      </c>
      <c r="H606" s="163">
        <v>357259.36</v>
      </c>
      <c r="J606" s="318">
        <v>44805</v>
      </c>
      <c r="K606" s="163">
        <v>357259.36</v>
      </c>
      <c r="L606" s="147"/>
    </row>
    <row r="607" spans="1:14" x14ac:dyDescent="0.2">
      <c r="A607" s="728">
        <v>43215</v>
      </c>
      <c r="B607" s="331">
        <v>198619</v>
      </c>
      <c r="C607" s="341"/>
      <c r="D607" s="331"/>
      <c r="F607" s="318">
        <v>44835</v>
      </c>
      <c r="G607" s="124">
        <v>264786.40999999997</v>
      </c>
      <c r="H607" s="163">
        <v>374993.63</v>
      </c>
      <c r="J607" s="318">
        <v>44835</v>
      </c>
      <c r="K607" s="163">
        <v>374993.63</v>
      </c>
      <c r="L607" s="147"/>
    </row>
    <row r="608" spans="1:14" x14ac:dyDescent="0.2">
      <c r="A608" s="728">
        <v>43216</v>
      </c>
      <c r="B608" s="331">
        <v>189089.55</v>
      </c>
      <c r="C608" s="341"/>
      <c r="D608" s="331"/>
      <c r="F608" s="318">
        <v>44866</v>
      </c>
      <c r="G608" s="124">
        <v>290727.87</v>
      </c>
      <c r="H608" s="163">
        <v>396685.21</v>
      </c>
      <c r="J608" s="318">
        <v>44866</v>
      </c>
      <c r="K608" s="163">
        <v>396685.21</v>
      </c>
      <c r="L608" s="147"/>
    </row>
    <row r="609" spans="1:12" x14ac:dyDescent="0.2">
      <c r="A609" s="728">
        <v>43217</v>
      </c>
      <c r="B609" s="331">
        <v>216053.77</v>
      </c>
      <c r="C609" s="341"/>
      <c r="D609" s="331"/>
      <c r="F609" s="318">
        <v>44896</v>
      </c>
      <c r="G609" s="124">
        <v>362006.45</v>
      </c>
      <c r="H609" s="163">
        <v>385734.14</v>
      </c>
      <c r="J609" s="318">
        <v>44896</v>
      </c>
      <c r="K609" s="163">
        <v>385734.14</v>
      </c>
      <c r="L609" s="147"/>
    </row>
    <row r="610" spans="1:12" x14ac:dyDescent="0.2">
      <c r="A610" s="728">
        <v>43220</v>
      </c>
      <c r="B610" s="331">
        <v>179849.52</v>
      </c>
      <c r="C610" s="341"/>
      <c r="F610" s="318">
        <v>44927</v>
      </c>
      <c r="G610" s="124">
        <v>494072.83</v>
      </c>
      <c r="H610" s="163">
        <v>402326.67</v>
      </c>
      <c r="J610" s="318">
        <v>44927</v>
      </c>
      <c r="K610" s="163">
        <v>402326.67</v>
      </c>
      <c r="L610" s="147"/>
    </row>
    <row r="611" spans="1:12" x14ac:dyDescent="0.2">
      <c r="A611" s="728">
        <v>43221</v>
      </c>
      <c r="B611" s="331">
        <v>179850</v>
      </c>
      <c r="C611" s="341"/>
      <c r="F611" s="318">
        <v>44958</v>
      </c>
      <c r="G611" s="124">
        <v>399857.44</v>
      </c>
      <c r="H611" s="163">
        <v>390206.58</v>
      </c>
      <c r="J611" s="318">
        <v>44958</v>
      </c>
      <c r="K611" s="163">
        <v>390206.58</v>
      </c>
      <c r="L611" s="147"/>
    </row>
    <row r="612" spans="1:12" x14ac:dyDescent="0.2">
      <c r="A612" s="728">
        <v>43222</v>
      </c>
      <c r="B612" s="331">
        <v>173749.01</v>
      </c>
      <c r="C612" s="341"/>
      <c r="F612" s="318">
        <v>44986</v>
      </c>
      <c r="G612" s="124">
        <v>279188.34999999998</v>
      </c>
      <c r="H612" s="163">
        <v>396440.66</v>
      </c>
      <c r="J612" s="318">
        <v>44986</v>
      </c>
      <c r="K612" s="163">
        <v>396440.66</v>
      </c>
      <c r="L612" s="147"/>
    </row>
    <row r="613" spans="1:12" x14ac:dyDescent="0.2">
      <c r="A613" s="728">
        <v>43223</v>
      </c>
      <c r="B613" s="331">
        <v>200792.85</v>
      </c>
      <c r="C613" s="341"/>
      <c r="F613" s="318">
        <v>45017</v>
      </c>
      <c r="G613" s="124">
        <v>302008.53000000003</v>
      </c>
      <c r="H613" s="163">
        <v>401182.89</v>
      </c>
      <c r="J613" s="318">
        <v>45017</v>
      </c>
      <c r="K613" s="163">
        <v>401182.89</v>
      </c>
    </row>
    <row r="614" spans="1:12" x14ac:dyDescent="0.2">
      <c r="A614" s="728">
        <v>43224</v>
      </c>
      <c r="B614" s="331">
        <v>202331.91</v>
      </c>
      <c r="C614" s="341"/>
      <c r="F614" s="318">
        <v>45047</v>
      </c>
      <c r="G614" s="124">
        <v>222544.3</v>
      </c>
      <c r="H614" s="163">
        <v>393246.23</v>
      </c>
      <c r="J614" s="318">
        <v>45047</v>
      </c>
      <c r="K614" s="163">
        <v>393246.23</v>
      </c>
    </row>
    <row r="615" spans="1:12" x14ac:dyDescent="0.2">
      <c r="A615" s="728">
        <v>43227</v>
      </c>
      <c r="B615" s="331">
        <v>203517.87</v>
      </c>
      <c r="C615" s="341"/>
      <c r="F615" s="318">
        <v>45078</v>
      </c>
      <c r="G615" s="124">
        <v>303528.63</v>
      </c>
      <c r="H615" s="163">
        <v>408061</v>
      </c>
      <c r="J615" s="318">
        <v>45078</v>
      </c>
      <c r="K615" s="163">
        <v>408061</v>
      </c>
      <c r="L615" s="147"/>
    </row>
    <row r="616" spans="1:12" x14ac:dyDescent="0.2">
      <c r="A616" s="728">
        <v>43228</v>
      </c>
      <c r="B616" s="331">
        <v>203518</v>
      </c>
      <c r="C616" s="341"/>
      <c r="F616" s="318">
        <v>45108</v>
      </c>
      <c r="G616" s="124">
        <v>279453.21999999997</v>
      </c>
      <c r="H616" s="163">
        <v>417521.72</v>
      </c>
      <c r="J616" s="318">
        <v>45108</v>
      </c>
      <c r="K616" s="163">
        <v>417521.72</v>
      </c>
      <c r="L616" s="147"/>
    </row>
    <row r="617" spans="1:12" x14ac:dyDescent="0.2">
      <c r="A617" s="728">
        <v>43229</v>
      </c>
      <c r="B617" s="331">
        <v>203518</v>
      </c>
      <c r="C617" s="341"/>
      <c r="F617" s="318">
        <v>45139</v>
      </c>
      <c r="G617" s="124">
        <v>235427.62</v>
      </c>
      <c r="H617" s="163">
        <v>410999.58</v>
      </c>
      <c r="J617" s="318">
        <v>45139</v>
      </c>
      <c r="K617" s="163">
        <v>410999.58</v>
      </c>
      <c r="L617" s="147"/>
    </row>
    <row r="618" spans="1:12" x14ac:dyDescent="0.2">
      <c r="A618" s="728">
        <v>43230</v>
      </c>
      <c r="B618" s="331">
        <v>191114.58</v>
      </c>
      <c r="C618" s="341"/>
      <c r="F618" s="318">
        <v>45170</v>
      </c>
      <c r="G618" s="124">
        <v>301323.59999999998</v>
      </c>
      <c r="H618" s="163">
        <v>396973.48</v>
      </c>
      <c r="J618" s="318">
        <v>45170</v>
      </c>
      <c r="K618" s="163">
        <v>396973.48</v>
      </c>
      <c r="L618" s="147"/>
    </row>
    <row r="619" spans="1:12" x14ac:dyDescent="0.2">
      <c r="A619" s="728">
        <v>43231</v>
      </c>
      <c r="B619" s="364">
        <v>153114.57999999999</v>
      </c>
      <c r="C619" s="341"/>
      <c r="D619" s="331"/>
      <c r="F619" s="318">
        <v>45200</v>
      </c>
      <c r="G619" s="124">
        <v>355947.69</v>
      </c>
      <c r="H619" s="163">
        <v>389315.86</v>
      </c>
      <c r="J619" s="318">
        <v>45200</v>
      </c>
      <c r="K619" s="163">
        <v>389315.86</v>
      </c>
      <c r="L619" s="147"/>
    </row>
    <row r="620" spans="1:12" x14ac:dyDescent="0.2">
      <c r="A620" s="728">
        <v>43234</v>
      </c>
      <c r="B620" s="364">
        <v>153115</v>
      </c>
      <c r="C620" s="341"/>
      <c r="D620" s="331"/>
      <c r="F620" s="318">
        <v>45231</v>
      </c>
      <c r="G620" s="124">
        <v>269865.12</v>
      </c>
      <c r="H620" s="163">
        <v>415432.2</v>
      </c>
      <c r="J620" s="318">
        <v>45231</v>
      </c>
      <c r="K620" s="163">
        <v>415432.2</v>
      </c>
      <c r="L620" s="147"/>
    </row>
    <row r="621" spans="1:12" x14ac:dyDescent="0.2">
      <c r="A621" s="728">
        <v>43235</v>
      </c>
      <c r="B621" s="331">
        <v>182792.08</v>
      </c>
      <c r="C621" s="341"/>
      <c r="D621" s="331"/>
      <c r="F621" s="318">
        <v>45261</v>
      </c>
      <c r="G621" s="124">
        <v>266721.90000000002</v>
      </c>
      <c r="H621" s="163">
        <v>434275.6</v>
      </c>
      <c r="J621" s="318">
        <v>45261</v>
      </c>
      <c r="K621" s="163">
        <v>434275.6</v>
      </c>
      <c r="L621" s="147"/>
    </row>
    <row r="622" spans="1:12" x14ac:dyDescent="0.2">
      <c r="A622" s="728">
        <v>43236</v>
      </c>
      <c r="B622" s="331">
        <v>182792</v>
      </c>
      <c r="C622" s="341"/>
      <c r="D622" s="331"/>
      <c r="F622" s="318">
        <v>45292</v>
      </c>
      <c r="G622" s="124">
        <v>413322.14</v>
      </c>
      <c r="H622" s="163">
        <v>437155.38</v>
      </c>
      <c r="J622" s="318">
        <v>45292</v>
      </c>
      <c r="K622" s="163">
        <v>437155.38</v>
      </c>
      <c r="L622" s="147"/>
    </row>
    <row r="623" spans="1:12" x14ac:dyDescent="0.2">
      <c r="A623" s="728">
        <v>43237</v>
      </c>
      <c r="B623" s="331">
        <v>222152.66</v>
      </c>
      <c r="C623" s="341"/>
      <c r="D623" s="331"/>
      <c r="F623" s="318">
        <v>45323</v>
      </c>
      <c r="G623" s="124">
        <v>390662.21</v>
      </c>
      <c r="H623" s="163">
        <v>449092.16</v>
      </c>
      <c r="J623" s="318">
        <v>45323</v>
      </c>
      <c r="K623" s="163">
        <v>449092.16</v>
      </c>
      <c r="L623" s="147"/>
    </row>
    <row r="624" spans="1:12" x14ac:dyDescent="0.2">
      <c r="A624" s="728">
        <v>43238</v>
      </c>
      <c r="B624" s="331">
        <v>222153</v>
      </c>
      <c r="C624" s="341"/>
      <c r="D624" s="331"/>
      <c r="F624" s="318">
        <v>45352</v>
      </c>
      <c r="G624" s="124">
        <v>280467.3</v>
      </c>
      <c r="H624" s="163">
        <v>465124.12</v>
      </c>
      <c r="J624" s="318">
        <v>45352</v>
      </c>
      <c r="K624" s="163">
        <v>465124.12</v>
      </c>
      <c r="L624" s="147"/>
    </row>
    <row r="625" spans="1:21" x14ac:dyDescent="0.2">
      <c r="A625" s="728">
        <v>43241</v>
      </c>
      <c r="B625" s="331">
        <v>222153</v>
      </c>
      <c r="C625" s="341"/>
      <c r="D625" s="331"/>
      <c r="F625" s="318">
        <v>45383</v>
      </c>
      <c r="G625" s="124">
        <v>323205.53000000003</v>
      </c>
      <c r="H625" s="163">
        <v>451645.99</v>
      </c>
      <c r="J625" s="318">
        <v>45383</v>
      </c>
      <c r="K625" s="163">
        <v>451645.99</v>
      </c>
      <c r="L625" s="147"/>
    </row>
    <row r="626" spans="1:21" x14ac:dyDescent="0.2">
      <c r="A626" s="728">
        <v>43242</v>
      </c>
      <c r="B626" s="331">
        <v>222153</v>
      </c>
      <c r="C626" s="341"/>
      <c r="D626" s="331"/>
      <c r="F626" s="318">
        <v>45413</v>
      </c>
      <c r="G626" s="124">
        <v>275004.96000000002</v>
      </c>
      <c r="H626" s="163">
        <v>467250.63</v>
      </c>
      <c r="J626" s="318">
        <v>45413</v>
      </c>
      <c r="K626" s="163">
        <v>467250.63</v>
      </c>
      <c r="L626" s="147"/>
    </row>
    <row r="627" spans="1:21" x14ac:dyDescent="0.2">
      <c r="A627" s="728">
        <v>43243</v>
      </c>
      <c r="B627" s="331">
        <v>222152</v>
      </c>
      <c r="C627" s="341"/>
      <c r="D627" s="331"/>
      <c r="F627" s="318">
        <v>45444</v>
      </c>
      <c r="G627" s="124">
        <v>296378.64</v>
      </c>
      <c r="H627" s="163">
        <v>470492.77</v>
      </c>
      <c r="J627" s="318">
        <v>45444</v>
      </c>
      <c r="K627" s="163">
        <v>470492.77</v>
      </c>
      <c r="L627" s="147"/>
    </row>
    <row r="628" spans="1:21" x14ac:dyDescent="0.2">
      <c r="A628" s="728">
        <v>43244</v>
      </c>
      <c r="B628" s="331">
        <v>211720.43</v>
      </c>
      <c r="C628" s="341"/>
      <c r="D628" s="331"/>
      <c r="F628" s="318">
        <v>45474</v>
      </c>
      <c r="G628" s="124">
        <v>336121.66</v>
      </c>
      <c r="H628" s="163">
        <v>484002.05</v>
      </c>
      <c r="J628" s="318">
        <v>45474</v>
      </c>
      <c r="K628" s="163">
        <v>484002.05</v>
      </c>
      <c r="P628" s="341"/>
      <c r="Q628" s="331"/>
      <c r="S628" t="s">
        <v>279</v>
      </c>
    </row>
    <row r="629" spans="1:21" x14ac:dyDescent="0.2">
      <c r="A629" s="728">
        <v>43245</v>
      </c>
      <c r="B629" s="331">
        <v>211720</v>
      </c>
      <c r="C629" s="341"/>
      <c r="D629" s="331"/>
      <c r="F629" s="318">
        <v>45505</v>
      </c>
      <c r="G629" s="124">
        <v>323670.74</v>
      </c>
      <c r="H629" s="163">
        <v>493219.34</v>
      </c>
      <c r="J629" s="318">
        <v>45505</v>
      </c>
      <c r="K629" s="163">
        <v>493219.34</v>
      </c>
      <c r="P629" s="341"/>
      <c r="Q629" s="331"/>
      <c r="S629" t="s">
        <v>280</v>
      </c>
      <c r="T629">
        <v>50000</v>
      </c>
    </row>
    <row r="630" spans="1:21" x14ac:dyDescent="0.2">
      <c r="A630" s="728">
        <v>43248</v>
      </c>
      <c r="B630" s="331">
        <v>211720</v>
      </c>
      <c r="C630" s="341"/>
      <c r="D630" s="331"/>
      <c r="F630" s="318">
        <v>45536</v>
      </c>
      <c r="G630" s="124">
        <v>343331.81</v>
      </c>
      <c r="H630" s="163">
        <v>497198.08000000002</v>
      </c>
      <c r="J630" s="318">
        <v>45536</v>
      </c>
      <c r="K630" s="163">
        <f>H630</f>
        <v>497198.08000000002</v>
      </c>
      <c r="P630" s="341"/>
      <c r="Q630" s="331"/>
      <c r="S630" t="s">
        <v>281</v>
      </c>
      <c r="T630" s="212">
        <v>158720.91</v>
      </c>
      <c r="U630" t="s">
        <v>282</v>
      </c>
    </row>
    <row r="631" spans="1:21" x14ac:dyDescent="0.2">
      <c r="A631" s="728">
        <v>43249</v>
      </c>
      <c r="B631" s="331">
        <v>176327.95</v>
      </c>
      <c r="C631" s="341"/>
      <c r="D631" s="331"/>
      <c r="F631" s="318">
        <v>45566</v>
      </c>
      <c r="G631" s="124">
        <v>340527.2</v>
      </c>
      <c r="H631" s="163">
        <v>490263.8</v>
      </c>
      <c r="J631" s="318">
        <v>45566</v>
      </c>
      <c r="K631" s="163">
        <f>H631</f>
        <v>490263.8</v>
      </c>
      <c r="P631" s="341"/>
      <c r="Q631" s="331"/>
      <c r="S631" t="s">
        <v>283</v>
      </c>
      <c r="T631" s="212">
        <v>820788.58</v>
      </c>
    </row>
    <row r="632" spans="1:21" x14ac:dyDescent="0.2">
      <c r="A632" s="728">
        <v>43250</v>
      </c>
      <c r="B632" s="331">
        <v>176328</v>
      </c>
      <c r="E632" s="318"/>
      <c r="F632" s="318">
        <v>45626</v>
      </c>
      <c r="G632" s="124">
        <v>365969</v>
      </c>
      <c r="H632" s="163">
        <v>505649.74</v>
      </c>
      <c r="J632" s="318">
        <v>45626</v>
      </c>
      <c r="K632" s="163">
        <f>H632</f>
        <v>505649.74</v>
      </c>
      <c r="P632" s="341"/>
      <c r="Q632" s="331"/>
      <c r="S632" t="s">
        <v>284</v>
      </c>
      <c r="T632" s="212"/>
    </row>
    <row r="633" spans="1:21" x14ac:dyDescent="0.2">
      <c r="A633" s="728">
        <v>43251</v>
      </c>
      <c r="B633" s="331">
        <v>169004.5</v>
      </c>
      <c r="F633" s="318">
        <v>45657</v>
      </c>
      <c r="G633" s="124">
        <v>282364</v>
      </c>
      <c r="H633" s="163">
        <v>485756.8</v>
      </c>
      <c r="J633" s="318">
        <v>45657</v>
      </c>
      <c r="K633" s="163">
        <f>H633</f>
        <v>485756.8</v>
      </c>
      <c r="L633" t="s">
        <v>285</v>
      </c>
      <c r="N633" s="783"/>
      <c r="P633" s="341"/>
      <c r="Q633" s="331"/>
      <c r="S633" t="s">
        <v>286</v>
      </c>
      <c r="T633" s="212">
        <v>248821.26</v>
      </c>
    </row>
    <row r="634" spans="1:21" x14ac:dyDescent="0.2">
      <c r="A634" s="728">
        <v>43252</v>
      </c>
      <c r="B634" s="331">
        <v>261992.26</v>
      </c>
      <c r="F634" s="318">
        <f>F633+31</f>
        <v>45688</v>
      </c>
      <c r="G634" s="124">
        <v>399502</v>
      </c>
      <c r="H634" s="163">
        <v>500919</v>
      </c>
      <c r="J634" s="318">
        <f>J633+31</f>
        <v>45688</v>
      </c>
      <c r="K634" s="163">
        <v>500919</v>
      </c>
      <c r="L634" t="s">
        <v>287</v>
      </c>
      <c r="N634" s="783">
        <v>485757</v>
      </c>
      <c r="P634" s="341"/>
      <c r="Q634" s="331"/>
      <c r="S634" t="s">
        <v>107</v>
      </c>
      <c r="T634" s="212">
        <v>2000</v>
      </c>
    </row>
    <row r="635" spans="1:21" x14ac:dyDescent="0.2">
      <c r="A635" s="728">
        <v>43255</v>
      </c>
      <c r="B635" s="331">
        <v>270521.09000000003</v>
      </c>
      <c r="F635" s="318">
        <f>F634+28</f>
        <v>45716</v>
      </c>
      <c r="G635" s="124">
        <v>339403</v>
      </c>
      <c r="H635" s="163">
        <v>501419.62</v>
      </c>
      <c r="J635" s="318">
        <f t="shared" ref="J635:J641" si="5">J634+28</f>
        <v>45716</v>
      </c>
      <c r="K635" s="163">
        <v>501419.62</v>
      </c>
      <c r="L635" t="s">
        <v>288</v>
      </c>
      <c r="M635" s="318">
        <f>J641</f>
        <v>45884</v>
      </c>
      <c r="N635" s="783">
        <f>K641</f>
        <v>541378.89</v>
      </c>
      <c r="P635" s="341"/>
      <c r="Q635" s="331"/>
      <c r="S635" t="s">
        <v>289</v>
      </c>
      <c r="T635" s="212">
        <f>51000+19000</f>
        <v>70000</v>
      </c>
    </row>
    <row r="636" spans="1:21" x14ac:dyDescent="0.2">
      <c r="A636" s="728">
        <v>43256</v>
      </c>
      <c r="B636" s="331">
        <v>285365.09000000003</v>
      </c>
      <c r="F636" s="318">
        <f>F635+28</f>
        <v>45744</v>
      </c>
      <c r="G636" s="124">
        <v>276810.65000000002</v>
      </c>
      <c r="J636" s="318">
        <f t="shared" si="5"/>
        <v>45744</v>
      </c>
      <c r="K636" s="163">
        <v>523071</v>
      </c>
      <c r="N636" s="783">
        <f>N635-N634</f>
        <v>55621.890000000014</v>
      </c>
      <c r="P636" s="341"/>
      <c r="Q636" s="331"/>
      <c r="R636" t="s">
        <v>290</v>
      </c>
      <c r="T636" s="212">
        <f>SUM(T629:T635)</f>
        <v>1350330.75</v>
      </c>
    </row>
    <row r="637" spans="1:21" x14ac:dyDescent="0.2">
      <c r="A637" s="728">
        <v>43257</v>
      </c>
      <c r="B637" s="331">
        <v>285365</v>
      </c>
      <c r="F637" s="318">
        <f>F636+28</f>
        <v>45772</v>
      </c>
      <c r="G637" s="124">
        <v>358247.98</v>
      </c>
      <c r="J637" s="318">
        <f t="shared" si="5"/>
        <v>45772</v>
      </c>
      <c r="K637" s="163">
        <v>488599.41</v>
      </c>
      <c r="N637" s="783"/>
      <c r="P637" s="341"/>
      <c r="Q637" s="331"/>
      <c r="T637" s="212"/>
    </row>
    <row r="638" spans="1:21" x14ac:dyDescent="0.2">
      <c r="A638" s="728">
        <v>43258</v>
      </c>
      <c r="B638" s="331">
        <v>287246.65999999997</v>
      </c>
      <c r="F638" s="318">
        <f>F637+28</f>
        <v>45800</v>
      </c>
      <c r="G638" s="124">
        <v>293255.53000000003</v>
      </c>
      <c r="J638" s="318">
        <f t="shared" si="5"/>
        <v>45800</v>
      </c>
      <c r="K638" s="163">
        <v>506406</v>
      </c>
      <c r="N638" s="783"/>
      <c r="P638" s="341"/>
      <c r="Q638" s="331"/>
      <c r="R638" t="s">
        <v>291</v>
      </c>
      <c r="T638" s="212">
        <f>AVERAGE(G561:G573)</f>
        <v>264939.10923076922</v>
      </c>
    </row>
    <row r="639" spans="1:21" x14ac:dyDescent="0.2">
      <c r="A639" s="728">
        <v>43259</v>
      </c>
      <c r="B639" s="331">
        <v>287247</v>
      </c>
      <c r="F639" s="318">
        <v>45838</v>
      </c>
      <c r="G639" s="124">
        <v>335133</v>
      </c>
      <c r="J639" s="318">
        <f t="shared" si="5"/>
        <v>45828</v>
      </c>
      <c r="K639" s="163">
        <v>523071</v>
      </c>
      <c r="P639" s="341"/>
      <c r="Q639" s="331"/>
      <c r="T639" s="212"/>
    </row>
    <row r="640" spans="1:21" x14ac:dyDescent="0.2">
      <c r="A640" s="728">
        <v>43262</v>
      </c>
      <c r="B640" s="331">
        <v>287247</v>
      </c>
      <c r="F640" s="454">
        <v>45869</v>
      </c>
      <c r="G640" s="124">
        <v>377557</v>
      </c>
      <c r="J640" s="318">
        <f t="shared" si="5"/>
        <v>45856</v>
      </c>
      <c r="K640" s="163">
        <v>524794</v>
      </c>
      <c r="P640" s="341"/>
      <c r="Q640" s="331"/>
      <c r="R640" t="s">
        <v>292</v>
      </c>
      <c r="T640" s="19">
        <f>T636/T638</f>
        <v>5.0967588511963511</v>
      </c>
    </row>
    <row r="641" spans="1:20" x14ac:dyDescent="0.2">
      <c r="A641" s="728">
        <v>43263</v>
      </c>
      <c r="B641" s="331">
        <v>253042.79</v>
      </c>
      <c r="F641" s="454">
        <v>45900</v>
      </c>
      <c r="G641" s="124">
        <v>283347</v>
      </c>
      <c r="J641" s="318">
        <f t="shared" si="5"/>
        <v>45884</v>
      </c>
      <c r="K641" s="163">
        <v>541378.89</v>
      </c>
      <c r="P641" s="341"/>
      <c r="Q641" s="331"/>
      <c r="T641" s="212"/>
    </row>
    <row r="642" spans="1:20" x14ac:dyDescent="0.2">
      <c r="A642" s="728">
        <v>43264</v>
      </c>
      <c r="B642" s="331">
        <v>253043</v>
      </c>
      <c r="P642" s="341"/>
      <c r="Q642" s="331"/>
      <c r="R642" t="s">
        <v>293</v>
      </c>
      <c r="T642" s="212">
        <v>365</v>
      </c>
    </row>
    <row r="643" spans="1:20" x14ac:dyDescent="0.2">
      <c r="A643" s="728">
        <v>43265</v>
      </c>
      <c r="B643" s="331">
        <v>246521.36</v>
      </c>
      <c r="P643" s="341"/>
      <c r="Q643" s="331"/>
      <c r="T643" s="212">
        <f>T642/T640</f>
        <v>71.614139624111189</v>
      </c>
    </row>
    <row r="644" spans="1:20" x14ac:dyDescent="0.2">
      <c r="A644" s="728">
        <v>43266</v>
      </c>
      <c r="B644" s="331">
        <v>246593.56</v>
      </c>
      <c r="P644" s="341"/>
      <c r="Q644" s="331"/>
    </row>
    <row r="645" spans="1:20" x14ac:dyDescent="0.2">
      <c r="A645" s="728">
        <v>43269</v>
      </c>
      <c r="B645" s="331">
        <v>246594</v>
      </c>
      <c r="P645" s="341"/>
      <c r="Q645" s="331"/>
    </row>
    <row r="646" spans="1:20" x14ac:dyDescent="0.2">
      <c r="A646" s="728">
        <v>43270</v>
      </c>
      <c r="B646" s="331">
        <v>246594</v>
      </c>
      <c r="P646" s="341"/>
      <c r="Q646" s="331"/>
    </row>
    <row r="647" spans="1:20" x14ac:dyDescent="0.2">
      <c r="A647" s="728">
        <v>43271</v>
      </c>
      <c r="B647" s="331">
        <v>246594</v>
      </c>
    </row>
    <row r="648" spans="1:20" x14ac:dyDescent="0.2">
      <c r="A648" s="728">
        <v>43272</v>
      </c>
      <c r="B648" s="331">
        <v>228395.48</v>
      </c>
    </row>
    <row r="649" spans="1:20" x14ac:dyDescent="0.2">
      <c r="A649" s="728">
        <v>43273</v>
      </c>
      <c r="B649" s="331">
        <v>228395</v>
      </c>
    </row>
    <row r="650" spans="1:20" x14ac:dyDescent="0.2">
      <c r="A650" s="728">
        <v>43276</v>
      </c>
      <c r="B650" s="331">
        <v>192627.9</v>
      </c>
    </row>
    <row r="651" spans="1:20" x14ac:dyDescent="0.2">
      <c r="A651" s="728">
        <v>43277</v>
      </c>
      <c r="B651" s="331">
        <v>192628</v>
      </c>
      <c r="C651" s="341"/>
      <c r="D651" s="331"/>
    </row>
    <row r="652" spans="1:20" x14ac:dyDescent="0.2">
      <c r="A652" s="728">
        <v>43278</v>
      </c>
      <c r="B652" s="331">
        <v>192628</v>
      </c>
      <c r="C652" s="341"/>
      <c r="D652" s="331"/>
    </row>
    <row r="653" spans="1:20" x14ac:dyDescent="0.2">
      <c r="A653" s="728">
        <v>43279</v>
      </c>
      <c r="B653" s="331">
        <v>193904.61</v>
      </c>
      <c r="C653" s="341"/>
      <c r="D653" s="331"/>
    </row>
    <row r="654" spans="1:20" x14ac:dyDescent="0.2">
      <c r="A654" s="728">
        <v>43280</v>
      </c>
      <c r="B654" s="331">
        <v>195328.48</v>
      </c>
      <c r="C654" s="341"/>
      <c r="D654" s="331"/>
    </row>
    <row r="655" spans="1:20" x14ac:dyDescent="0.2">
      <c r="A655" s="728">
        <v>43283</v>
      </c>
      <c r="B655" s="331">
        <v>199304.09</v>
      </c>
      <c r="C655" s="341"/>
      <c r="D655" s="331"/>
    </row>
    <row r="656" spans="1:20" x14ac:dyDescent="0.2">
      <c r="A656" s="728">
        <v>43284</v>
      </c>
      <c r="B656" s="331">
        <v>201071.11</v>
      </c>
      <c r="C656" s="341"/>
      <c r="D656" s="331"/>
    </row>
    <row r="657" spans="1:4" x14ac:dyDescent="0.2">
      <c r="A657" s="728">
        <v>43285</v>
      </c>
      <c r="B657" s="331">
        <v>201071</v>
      </c>
      <c r="C657" s="341"/>
      <c r="D657" s="331"/>
    </row>
    <row r="658" spans="1:4" x14ac:dyDescent="0.2">
      <c r="A658" s="728">
        <v>43286</v>
      </c>
      <c r="B658" s="331">
        <v>223298.16</v>
      </c>
      <c r="C658" s="341"/>
      <c r="D658" s="331"/>
    </row>
    <row r="659" spans="1:4" x14ac:dyDescent="0.2">
      <c r="A659" s="728">
        <v>43287</v>
      </c>
      <c r="B659" s="331">
        <v>238962.66</v>
      </c>
      <c r="C659" s="341"/>
      <c r="D659" s="331"/>
    </row>
    <row r="660" spans="1:4" x14ac:dyDescent="0.2">
      <c r="A660" s="728">
        <v>43290</v>
      </c>
      <c r="B660" s="331">
        <v>203086.22</v>
      </c>
      <c r="C660" s="341"/>
      <c r="D660" s="331"/>
    </row>
    <row r="661" spans="1:4" x14ac:dyDescent="0.2">
      <c r="A661" s="728">
        <v>43291</v>
      </c>
      <c r="B661" s="331">
        <v>226930.31</v>
      </c>
      <c r="C661" s="341"/>
      <c r="D661" s="331"/>
    </row>
    <row r="662" spans="1:4" x14ac:dyDescent="0.2">
      <c r="A662" s="728">
        <v>43292</v>
      </c>
      <c r="B662" s="331">
        <v>226930</v>
      </c>
      <c r="C662" s="341"/>
      <c r="D662" s="331"/>
    </row>
    <row r="663" spans="1:4" x14ac:dyDescent="0.2">
      <c r="A663" s="728">
        <v>43293</v>
      </c>
      <c r="B663" s="331">
        <v>220822.05</v>
      </c>
      <c r="C663" s="341"/>
      <c r="D663" s="331"/>
    </row>
    <row r="664" spans="1:4" x14ac:dyDescent="0.2">
      <c r="A664" s="728">
        <v>43294</v>
      </c>
      <c r="B664" s="331">
        <v>220986.35</v>
      </c>
      <c r="C664" s="341"/>
      <c r="D664" s="331"/>
    </row>
    <row r="665" spans="1:4" x14ac:dyDescent="0.2">
      <c r="A665" s="728">
        <v>43297</v>
      </c>
      <c r="B665" s="331">
        <v>220986</v>
      </c>
      <c r="C665" s="341"/>
      <c r="D665" s="331"/>
    </row>
    <row r="666" spans="1:4" x14ac:dyDescent="0.2">
      <c r="A666" s="728">
        <v>43298</v>
      </c>
      <c r="B666" s="331">
        <v>220986</v>
      </c>
      <c r="C666" s="341"/>
      <c r="D666" s="331"/>
    </row>
    <row r="667" spans="1:4" x14ac:dyDescent="0.2">
      <c r="A667" s="728">
        <v>43299</v>
      </c>
      <c r="B667" s="331">
        <v>197995.27</v>
      </c>
      <c r="C667" s="341"/>
      <c r="D667" s="331"/>
    </row>
    <row r="668" spans="1:4" x14ac:dyDescent="0.2">
      <c r="A668" s="728">
        <v>43300</v>
      </c>
      <c r="B668" s="331">
        <v>202931.61</v>
      </c>
      <c r="C668" s="341"/>
      <c r="D668" s="331"/>
    </row>
    <row r="669" spans="1:4" x14ac:dyDescent="0.2">
      <c r="A669" s="728">
        <v>43301</v>
      </c>
      <c r="B669" s="331">
        <v>202932</v>
      </c>
      <c r="C669" s="341"/>
      <c r="D669" s="331"/>
    </row>
    <row r="670" spans="1:4" x14ac:dyDescent="0.2">
      <c r="A670" s="728">
        <v>43304</v>
      </c>
      <c r="B670" s="331">
        <v>167839.6</v>
      </c>
      <c r="C670" s="341"/>
      <c r="D670" s="331"/>
    </row>
    <row r="671" spans="1:4" x14ac:dyDescent="0.2">
      <c r="A671" s="728">
        <v>43305</v>
      </c>
      <c r="B671" s="331">
        <v>167840</v>
      </c>
      <c r="C671" s="341"/>
      <c r="D671" s="331"/>
    </row>
    <row r="672" spans="1:4" x14ac:dyDescent="0.2">
      <c r="A672" s="728">
        <v>43306</v>
      </c>
      <c r="B672" s="331">
        <v>167840</v>
      </c>
      <c r="C672" s="341"/>
      <c r="D672" s="331"/>
    </row>
    <row r="673" spans="1:4" x14ac:dyDescent="0.2">
      <c r="A673" s="728">
        <v>43307</v>
      </c>
      <c r="B673" s="331">
        <v>180485.58</v>
      </c>
      <c r="C673" s="341"/>
      <c r="D673" s="331"/>
    </row>
    <row r="674" spans="1:4" x14ac:dyDescent="0.2">
      <c r="A674" s="728">
        <v>43308</v>
      </c>
      <c r="B674" s="331">
        <v>205676.09</v>
      </c>
      <c r="C674" s="341"/>
      <c r="D674" s="331"/>
    </row>
    <row r="675" spans="1:4" x14ac:dyDescent="0.2">
      <c r="A675" s="728">
        <v>43311</v>
      </c>
      <c r="B675" s="331">
        <v>199229.46</v>
      </c>
      <c r="C675" s="341"/>
      <c r="D675" s="331"/>
    </row>
    <row r="676" spans="1:4" x14ac:dyDescent="0.2">
      <c r="A676" s="728">
        <v>43312</v>
      </c>
      <c r="B676" s="331">
        <v>199612.46</v>
      </c>
      <c r="C676" s="341"/>
      <c r="D676" s="331"/>
    </row>
    <row r="677" spans="1:4" x14ac:dyDescent="0.2">
      <c r="A677" s="728">
        <v>43313</v>
      </c>
      <c r="B677" s="331">
        <v>327321.84000000003</v>
      </c>
      <c r="C677" s="341"/>
      <c r="D677" s="331"/>
    </row>
    <row r="678" spans="1:4" x14ac:dyDescent="0.2">
      <c r="A678" s="728">
        <v>43314</v>
      </c>
      <c r="B678" s="331">
        <v>328551.67</v>
      </c>
      <c r="C678" s="341"/>
      <c r="D678" s="331"/>
    </row>
    <row r="679" spans="1:4" x14ac:dyDescent="0.2">
      <c r="A679" s="728">
        <v>43315</v>
      </c>
      <c r="B679" s="331">
        <v>328552</v>
      </c>
      <c r="C679" s="341"/>
      <c r="D679" s="331"/>
    </row>
    <row r="680" spans="1:4" x14ac:dyDescent="0.2">
      <c r="A680" s="728">
        <v>43318</v>
      </c>
      <c r="B680" s="331">
        <v>293600.95</v>
      </c>
      <c r="C680" s="341"/>
      <c r="D680" s="331"/>
    </row>
    <row r="681" spans="1:4" x14ac:dyDescent="0.2">
      <c r="A681" s="728">
        <v>43319</v>
      </c>
      <c r="B681" s="331">
        <v>298153.56</v>
      </c>
      <c r="C681" s="341"/>
      <c r="D681" s="331"/>
    </row>
    <row r="682" spans="1:4" x14ac:dyDescent="0.2">
      <c r="A682" s="728">
        <v>43320</v>
      </c>
      <c r="B682" s="331">
        <v>298154</v>
      </c>
      <c r="C682" s="341"/>
      <c r="D682" s="331"/>
    </row>
    <row r="683" spans="1:4" x14ac:dyDescent="0.2">
      <c r="A683" s="728">
        <v>43321</v>
      </c>
      <c r="B683" s="331">
        <v>294180.65999999997</v>
      </c>
      <c r="C683" s="341"/>
      <c r="D683" s="331"/>
    </row>
    <row r="684" spans="1:4" x14ac:dyDescent="0.2">
      <c r="A684" s="728">
        <v>43322</v>
      </c>
      <c r="B684" s="331">
        <v>294181</v>
      </c>
      <c r="C684" s="341"/>
      <c r="D684" s="331"/>
    </row>
    <row r="685" spans="1:4" x14ac:dyDescent="0.2">
      <c r="A685" s="728">
        <v>43325</v>
      </c>
      <c r="B685" s="331">
        <v>294679.65999999997</v>
      </c>
      <c r="C685" s="341"/>
      <c r="D685" s="331"/>
    </row>
    <row r="686" spans="1:4" x14ac:dyDescent="0.2">
      <c r="A686" s="728">
        <v>43326</v>
      </c>
      <c r="B686" s="331">
        <v>294680</v>
      </c>
      <c r="C686" s="341"/>
      <c r="D686" s="331"/>
    </row>
    <row r="687" spans="1:4" x14ac:dyDescent="0.2">
      <c r="A687" s="728">
        <v>43327</v>
      </c>
      <c r="B687" s="331">
        <v>294761.65000000002</v>
      </c>
      <c r="C687" s="341"/>
      <c r="D687" s="331"/>
    </row>
    <row r="688" spans="1:4" x14ac:dyDescent="0.2">
      <c r="A688" s="728">
        <v>43328</v>
      </c>
      <c r="B688" s="331">
        <v>290632.52</v>
      </c>
      <c r="C688" s="341"/>
      <c r="D688" s="331"/>
    </row>
    <row r="689" spans="1:4" x14ac:dyDescent="0.2">
      <c r="A689" s="728">
        <v>43329</v>
      </c>
      <c r="B689" s="331">
        <v>290633</v>
      </c>
      <c r="C689" s="341"/>
      <c r="D689" s="331"/>
    </row>
    <row r="690" spans="1:4" x14ac:dyDescent="0.2">
      <c r="A690" s="728">
        <v>43332</v>
      </c>
      <c r="B690" s="331">
        <v>254427.11</v>
      </c>
      <c r="C690" s="341"/>
      <c r="D690" s="331"/>
    </row>
    <row r="691" spans="1:4" x14ac:dyDescent="0.2">
      <c r="A691" s="728">
        <v>43333</v>
      </c>
      <c r="B691" s="331">
        <v>255823.93</v>
      </c>
      <c r="C691" s="341"/>
      <c r="D691" s="331"/>
    </row>
    <row r="692" spans="1:4" x14ac:dyDescent="0.2">
      <c r="A692" s="728">
        <v>43334</v>
      </c>
      <c r="B692" s="331">
        <v>255419.13</v>
      </c>
      <c r="C692" s="341"/>
      <c r="D692" s="331"/>
    </row>
    <row r="693" spans="1:4" x14ac:dyDescent="0.2">
      <c r="A693" s="728">
        <v>43335</v>
      </c>
      <c r="B693" s="331">
        <v>272759.37</v>
      </c>
      <c r="C693" s="341"/>
      <c r="D693" s="331"/>
    </row>
    <row r="694" spans="1:4" x14ac:dyDescent="0.2">
      <c r="A694" s="728">
        <v>43336</v>
      </c>
      <c r="B694" s="331">
        <v>272846.37</v>
      </c>
      <c r="C694" s="341"/>
      <c r="D694" s="331"/>
    </row>
    <row r="695" spans="1:4" x14ac:dyDescent="0.2">
      <c r="A695" s="728">
        <v>43339</v>
      </c>
      <c r="B695" s="331">
        <v>272846</v>
      </c>
      <c r="C695" s="341"/>
      <c r="D695" s="331"/>
    </row>
    <row r="696" spans="1:4" x14ac:dyDescent="0.2">
      <c r="A696" s="728">
        <v>43340</v>
      </c>
      <c r="B696" s="331">
        <v>272846</v>
      </c>
      <c r="C696" s="341"/>
      <c r="D696" s="331"/>
    </row>
    <row r="697" spans="1:4" x14ac:dyDescent="0.2">
      <c r="A697" s="728">
        <v>43341</v>
      </c>
      <c r="B697" s="331">
        <v>276622.58</v>
      </c>
      <c r="C697" s="341"/>
      <c r="D697" s="331"/>
    </row>
    <row r="698" spans="1:4" x14ac:dyDescent="0.2">
      <c r="A698" s="728">
        <v>43342</v>
      </c>
      <c r="B698" s="331">
        <v>276623</v>
      </c>
      <c r="C698" s="341"/>
      <c r="D698" s="331"/>
    </row>
    <row r="699" spans="1:4" x14ac:dyDescent="0.2">
      <c r="A699" s="728">
        <v>43343</v>
      </c>
      <c r="B699" s="331">
        <v>276773.33</v>
      </c>
      <c r="C699" s="341"/>
      <c r="D699" s="331"/>
    </row>
    <row r="700" spans="1:4" x14ac:dyDescent="0.2">
      <c r="A700" s="728">
        <v>43346</v>
      </c>
      <c r="B700" s="331">
        <v>276773</v>
      </c>
      <c r="C700" s="341"/>
      <c r="D700" s="331"/>
    </row>
    <row r="701" spans="1:4" x14ac:dyDescent="0.2">
      <c r="A701" s="728">
        <v>43347</v>
      </c>
      <c r="B701" s="331">
        <v>240090.56</v>
      </c>
      <c r="C701" s="341"/>
      <c r="D701" s="331"/>
    </row>
    <row r="702" spans="1:4" x14ac:dyDescent="0.2">
      <c r="A702" s="728">
        <v>43348</v>
      </c>
      <c r="B702" s="331">
        <v>240091</v>
      </c>
      <c r="C702" s="341"/>
      <c r="D702" s="331"/>
    </row>
    <row r="703" spans="1:4" x14ac:dyDescent="0.2">
      <c r="A703" s="728">
        <v>43349</v>
      </c>
      <c r="B703" s="331">
        <v>237779.31</v>
      </c>
      <c r="C703" s="341"/>
      <c r="D703" s="331"/>
    </row>
    <row r="704" spans="1:4" x14ac:dyDescent="0.2">
      <c r="A704" s="728">
        <v>43350</v>
      </c>
      <c r="B704" s="331">
        <v>237779</v>
      </c>
      <c r="C704" s="341"/>
      <c r="D704" s="331"/>
    </row>
    <row r="705" spans="1:4" x14ac:dyDescent="0.2">
      <c r="A705" s="728">
        <v>43353</v>
      </c>
      <c r="B705" s="331">
        <v>243552.34</v>
      </c>
      <c r="C705" s="341"/>
      <c r="D705" s="331"/>
    </row>
    <row r="706" spans="1:4" x14ac:dyDescent="0.2">
      <c r="A706" s="728">
        <v>43354</v>
      </c>
      <c r="B706" s="331">
        <v>243552</v>
      </c>
      <c r="C706" s="341"/>
      <c r="D706" s="331"/>
    </row>
    <row r="707" spans="1:4" x14ac:dyDescent="0.2">
      <c r="A707" s="728">
        <v>43355</v>
      </c>
      <c r="B707" s="331">
        <v>243552</v>
      </c>
      <c r="C707" s="341"/>
      <c r="D707" s="331"/>
    </row>
    <row r="708" spans="1:4" x14ac:dyDescent="0.2">
      <c r="A708" s="728">
        <v>43356</v>
      </c>
      <c r="B708" s="331">
        <v>266009.96000000002</v>
      </c>
      <c r="C708" s="341"/>
      <c r="D708" s="331"/>
    </row>
    <row r="709" spans="1:4" x14ac:dyDescent="0.2">
      <c r="A709" s="728">
        <v>43357</v>
      </c>
      <c r="B709" s="331">
        <v>266087.59999999998</v>
      </c>
      <c r="C709" s="341"/>
      <c r="D709" s="331"/>
    </row>
    <row r="710" spans="1:4" x14ac:dyDescent="0.2">
      <c r="A710" s="728">
        <v>43360</v>
      </c>
      <c r="B710" s="331">
        <v>229939.6</v>
      </c>
      <c r="C710" s="341"/>
      <c r="D710" s="331"/>
    </row>
    <row r="711" spans="1:4" x14ac:dyDescent="0.2">
      <c r="A711" s="728">
        <v>43361</v>
      </c>
      <c r="B711" s="331">
        <v>229940</v>
      </c>
      <c r="C711" s="341"/>
      <c r="D711" s="331"/>
    </row>
    <row r="712" spans="1:4" x14ac:dyDescent="0.2">
      <c r="A712" s="728">
        <v>43362</v>
      </c>
      <c r="B712" s="331">
        <v>229940</v>
      </c>
      <c r="C712" s="341"/>
      <c r="D712" s="331"/>
    </row>
    <row r="713" spans="1:4" x14ac:dyDescent="0.2">
      <c r="A713" s="728">
        <v>43363</v>
      </c>
      <c r="B713" s="331">
        <v>226983.82</v>
      </c>
      <c r="C713" s="341"/>
      <c r="D713" s="331"/>
    </row>
    <row r="714" spans="1:4" x14ac:dyDescent="0.2">
      <c r="A714" s="728">
        <v>43364</v>
      </c>
      <c r="B714" s="331">
        <v>226983.82</v>
      </c>
      <c r="C714" s="341"/>
      <c r="D714" s="331"/>
    </row>
    <row r="715" spans="1:4" x14ac:dyDescent="0.2">
      <c r="A715" s="728">
        <v>43367</v>
      </c>
      <c r="B715" s="331">
        <v>231167.41</v>
      </c>
      <c r="C715" s="341"/>
      <c r="D715" s="331"/>
    </row>
    <row r="716" spans="1:4" x14ac:dyDescent="0.2">
      <c r="A716" s="728">
        <v>43368</v>
      </c>
      <c r="B716" s="331">
        <v>231298.26</v>
      </c>
      <c r="C716" s="341"/>
      <c r="D716" s="331"/>
    </row>
    <row r="717" spans="1:4" x14ac:dyDescent="0.2">
      <c r="A717" s="728">
        <v>43369</v>
      </c>
      <c r="B717" s="331">
        <v>231298</v>
      </c>
      <c r="C717" s="341"/>
      <c r="D717" s="331"/>
    </row>
    <row r="718" spans="1:4" x14ac:dyDescent="0.2">
      <c r="A718" s="728">
        <v>43370</v>
      </c>
      <c r="B718" s="331">
        <v>218195.44</v>
      </c>
      <c r="C718" s="341"/>
      <c r="D718" s="331"/>
    </row>
    <row r="719" spans="1:4" x14ac:dyDescent="0.2">
      <c r="A719" s="728">
        <v>43371</v>
      </c>
      <c r="B719" s="331">
        <v>218195</v>
      </c>
      <c r="C719" s="341"/>
      <c r="D719" s="331"/>
    </row>
    <row r="720" spans="1:4" x14ac:dyDescent="0.2">
      <c r="A720" s="728">
        <v>43374</v>
      </c>
      <c r="B720" s="331">
        <v>181738.47</v>
      </c>
      <c r="C720" s="341"/>
      <c r="D720" s="331"/>
    </row>
    <row r="721" spans="1:4" x14ac:dyDescent="0.2">
      <c r="A721" s="728">
        <v>43375</v>
      </c>
      <c r="B721" s="331">
        <v>175674.86</v>
      </c>
      <c r="C721" s="341"/>
      <c r="D721" s="331"/>
    </row>
    <row r="722" spans="1:4" x14ac:dyDescent="0.2">
      <c r="A722" s="728">
        <v>43376</v>
      </c>
      <c r="B722" s="331">
        <v>175890.11</v>
      </c>
      <c r="C722" s="341"/>
      <c r="D722" s="331"/>
    </row>
    <row r="723" spans="1:4" x14ac:dyDescent="0.2">
      <c r="A723" s="728">
        <v>43377</v>
      </c>
      <c r="B723" s="331">
        <v>176908.84</v>
      </c>
      <c r="C723" s="341"/>
      <c r="D723" s="331"/>
    </row>
    <row r="724" spans="1:4" x14ac:dyDescent="0.2">
      <c r="A724" s="728">
        <v>43378</v>
      </c>
      <c r="B724" s="331">
        <v>176909</v>
      </c>
      <c r="C724" s="341"/>
      <c r="D724" s="331"/>
    </row>
    <row r="725" spans="1:4" x14ac:dyDescent="0.2">
      <c r="A725" s="728">
        <v>43381</v>
      </c>
      <c r="B725" s="331">
        <v>176909</v>
      </c>
      <c r="C725" s="341"/>
      <c r="D725" s="331"/>
    </row>
    <row r="726" spans="1:4" x14ac:dyDescent="0.2">
      <c r="A726" s="728">
        <v>43382</v>
      </c>
      <c r="B726" s="331">
        <v>226038.22</v>
      </c>
      <c r="C726" s="341"/>
      <c r="D726" s="331"/>
    </row>
    <row r="727" spans="1:4" x14ac:dyDescent="0.2">
      <c r="A727" s="728">
        <v>43383</v>
      </c>
      <c r="B727" s="331">
        <v>226038</v>
      </c>
      <c r="C727" s="341"/>
      <c r="D727" s="331"/>
    </row>
    <row r="728" spans="1:4" x14ac:dyDescent="0.2">
      <c r="A728" s="728">
        <v>43384</v>
      </c>
      <c r="B728" s="331">
        <v>223293.31</v>
      </c>
      <c r="C728" s="341"/>
      <c r="D728" s="331"/>
    </row>
    <row r="729" spans="1:4" x14ac:dyDescent="0.2">
      <c r="A729" s="728">
        <v>43385</v>
      </c>
      <c r="B729" s="331">
        <v>272327.27</v>
      </c>
      <c r="C729" s="341"/>
      <c r="D729" s="331"/>
    </row>
    <row r="730" spans="1:4" x14ac:dyDescent="0.2">
      <c r="A730" s="728">
        <v>43388</v>
      </c>
      <c r="B730" s="331">
        <v>236397.34</v>
      </c>
      <c r="C730" s="341"/>
      <c r="D730" s="331"/>
    </row>
    <row r="731" spans="1:4" x14ac:dyDescent="0.2">
      <c r="A731" s="728">
        <v>43389</v>
      </c>
      <c r="B731" s="331">
        <v>236553.84</v>
      </c>
      <c r="C731" s="341"/>
      <c r="D731" s="331"/>
    </row>
    <row r="732" spans="1:4" x14ac:dyDescent="0.2">
      <c r="A732" s="728">
        <v>43390</v>
      </c>
      <c r="B732" s="331">
        <v>249133.92</v>
      </c>
      <c r="C732" s="341"/>
      <c r="D732" s="331"/>
    </row>
    <row r="733" spans="1:4" x14ac:dyDescent="0.2">
      <c r="A733" s="728">
        <v>43391</v>
      </c>
      <c r="B733" s="331">
        <v>254043.68</v>
      </c>
      <c r="C733" s="341"/>
      <c r="D733" s="331"/>
    </row>
    <row r="734" spans="1:4" x14ac:dyDescent="0.2">
      <c r="A734" s="728">
        <v>43392</v>
      </c>
      <c r="B734" s="331">
        <v>254064.5</v>
      </c>
      <c r="C734" s="341"/>
      <c r="D734" s="331"/>
    </row>
    <row r="735" spans="1:4" x14ac:dyDescent="0.2">
      <c r="A735" s="728">
        <v>43395</v>
      </c>
      <c r="B735" s="331">
        <v>290142.09999999998</v>
      </c>
      <c r="C735" s="341"/>
      <c r="D735" s="331"/>
    </row>
    <row r="736" spans="1:4" x14ac:dyDescent="0.2">
      <c r="A736" s="728">
        <v>43396</v>
      </c>
      <c r="B736" s="331">
        <v>290142</v>
      </c>
      <c r="C736" s="341"/>
      <c r="D736" s="331"/>
    </row>
    <row r="737" spans="1:4" x14ac:dyDescent="0.2">
      <c r="A737" s="728">
        <v>43397</v>
      </c>
      <c r="B737" s="331">
        <v>290034.38</v>
      </c>
      <c r="C737" s="341"/>
      <c r="D737" s="331"/>
    </row>
    <row r="738" spans="1:4" x14ac:dyDescent="0.2">
      <c r="A738" s="728">
        <v>43398</v>
      </c>
      <c r="B738" s="331">
        <v>291747.36</v>
      </c>
      <c r="C738" s="341"/>
      <c r="D738" s="331"/>
    </row>
    <row r="739" spans="1:4" x14ac:dyDescent="0.2">
      <c r="A739" s="728">
        <v>43399</v>
      </c>
      <c r="B739" s="331">
        <v>306637.48</v>
      </c>
      <c r="C739" s="341"/>
      <c r="D739" s="331"/>
    </row>
    <row r="740" spans="1:4" x14ac:dyDescent="0.2">
      <c r="A740" s="728">
        <v>43402</v>
      </c>
      <c r="B740" s="331">
        <v>270401.28999999998</v>
      </c>
      <c r="C740" s="341"/>
      <c r="D740" s="331"/>
    </row>
    <row r="741" spans="1:4" x14ac:dyDescent="0.2">
      <c r="A741" s="728">
        <v>43403</v>
      </c>
      <c r="B741" s="331">
        <v>278028.58</v>
      </c>
      <c r="C741" s="341"/>
      <c r="D741" s="331"/>
    </row>
    <row r="742" spans="1:4" x14ac:dyDescent="0.2">
      <c r="A742" s="728">
        <v>43404</v>
      </c>
      <c r="B742" s="331">
        <v>278029</v>
      </c>
      <c r="C742" s="341"/>
      <c r="D742" s="331"/>
    </row>
    <row r="743" spans="1:4" x14ac:dyDescent="0.2">
      <c r="A743" s="728">
        <v>43405</v>
      </c>
      <c r="B743" s="331">
        <v>279523.53000000003</v>
      </c>
      <c r="C743" s="341"/>
      <c r="D743" s="331"/>
    </row>
    <row r="744" spans="1:4" x14ac:dyDescent="0.2">
      <c r="A744" s="728">
        <v>43406</v>
      </c>
      <c r="B744" s="331">
        <v>303100.06</v>
      </c>
      <c r="C744" s="341"/>
      <c r="D744" s="331"/>
    </row>
    <row r="745" spans="1:4" x14ac:dyDescent="0.2">
      <c r="A745" s="728">
        <v>43409</v>
      </c>
      <c r="B745" s="331">
        <v>303100.06</v>
      </c>
      <c r="C745" s="341"/>
      <c r="D745" s="331"/>
    </row>
    <row r="746" spans="1:4" x14ac:dyDescent="0.2">
      <c r="A746" s="728">
        <v>43410</v>
      </c>
      <c r="B746" s="331">
        <v>303100.06</v>
      </c>
      <c r="C746" s="341"/>
      <c r="D746" s="331"/>
    </row>
    <row r="747" spans="1:4" x14ac:dyDescent="0.2">
      <c r="A747" s="728">
        <v>43411</v>
      </c>
      <c r="B747" s="331">
        <v>303954.14</v>
      </c>
      <c r="C747" s="341"/>
      <c r="D747" s="331"/>
    </row>
    <row r="748" spans="1:4" x14ac:dyDescent="0.2">
      <c r="A748" s="728">
        <v>43412</v>
      </c>
      <c r="B748" s="331">
        <v>294843.14</v>
      </c>
      <c r="C748" s="341"/>
      <c r="D748" s="331"/>
    </row>
    <row r="749" spans="1:4" x14ac:dyDescent="0.2">
      <c r="A749" s="728">
        <v>43413</v>
      </c>
      <c r="B749" s="331">
        <v>294843</v>
      </c>
      <c r="C749" s="341"/>
      <c r="D749" s="331"/>
    </row>
    <row r="750" spans="1:4" x14ac:dyDescent="0.2">
      <c r="A750" s="728">
        <v>43416</v>
      </c>
      <c r="B750" s="331">
        <v>294843</v>
      </c>
      <c r="C750" s="341"/>
      <c r="D750" s="331"/>
    </row>
    <row r="751" spans="1:4" x14ac:dyDescent="0.2">
      <c r="A751" s="728">
        <v>43417</v>
      </c>
      <c r="B751" s="331">
        <v>294843</v>
      </c>
      <c r="C751" s="341"/>
      <c r="D751" s="331"/>
    </row>
    <row r="752" spans="1:4" x14ac:dyDescent="0.2">
      <c r="A752" s="728">
        <v>43418</v>
      </c>
      <c r="B752" s="331">
        <v>259514.47</v>
      </c>
      <c r="C752" s="341"/>
      <c r="D752" s="331"/>
    </row>
    <row r="753" spans="1:4" x14ac:dyDescent="0.2">
      <c r="A753" s="728">
        <v>43419</v>
      </c>
      <c r="B753" s="331">
        <v>255987.45</v>
      </c>
      <c r="C753" s="341"/>
      <c r="D753" s="331"/>
    </row>
    <row r="754" spans="1:4" x14ac:dyDescent="0.2">
      <c r="A754" s="728">
        <v>43420</v>
      </c>
      <c r="B754" s="331">
        <v>255987.45</v>
      </c>
      <c r="C754" s="341"/>
      <c r="D754" s="331"/>
    </row>
    <row r="755" spans="1:4" x14ac:dyDescent="0.2">
      <c r="A755" s="728">
        <v>43423</v>
      </c>
      <c r="B755" s="331">
        <v>255987.45</v>
      </c>
      <c r="C755" s="341"/>
      <c r="D755" s="331"/>
    </row>
    <row r="756" spans="1:4" x14ac:dyDescent="0.2">
      <c r="A756" s="728">
        <v>43424</v>
      </c>
      <c r="B756" s="331">
        <v>254650.75</v>
      </c>
      <c r="C756" s="341"/>
      <c r="D756" s="331"/>
    </row>
    <row r="757" spans="1:4" x14ac:dyDescent="0.2">
      <c r="A757" s="728">
        <v>43425</v>
      </c>
      <c r="B757" s="331">
        <v>298403.21000000002</v>
      </c>
      <c r="C757" s="341"/>
      <c r="D757" s="331"/>
    </row>
    <row r="758" spans="1:4" x14ac:dyDescent="0.2">
      <c r="A758" s="728">
        <v>43426</v>
      </c>
      <c r="B758" s="331">
        <v>300529.64</v>
      </c>
      <c r="C758" s="341"/>
      <c r="D758" s="331"/>
    </row>
    <row r="759" spans="1:4" x14ac:dyDescent="0.2">
      <c r="A759" s="728">
        <v>43427</v>
      </c>
      <c r="B759" s="331">
        <v>300229.64</v>
      </c>
      <c r="C759" s="341"/>
      <c r="D759" s="331"/>
    </row>
    <row r="760" spans="1:4" x14ac:dyDescent="0.2">
      <c r="A760" s="728">
        <v>43430</v>
      </c>
      <c r="B760" s="331">
        <v>300230</v>
      </c>
      <c r="C760" s="341"/>
      <c r="D760" s="331"/>
    </row>
    <row r="761" spans="1:4" x14ac:dyDescent="0.2">
      <c r="A761" s="728">
        <v>43431</v>
      </c>
      <c r="B761" s="331">
        <v>267674.82</v>
      </c>
      <c r="C761" s="341"/>
      <c r="D761" s="331"/>
    </row>
    <row r="762" spans="1:4" x14ac:dyDescent="0.2">
      <c r="A762" s="728">
        <v>43432</v>
      </c>
      <c r="B762" s="331">
        <v>273448.82</v>
      </c>
      <c r="C762" s="341"/>
      <c r="D762" s="331"/>
    </row>
    <row r="763" spans="1:4" x14ac:dyDescent="0.2">
      <c r="A763" s="728">
        <v>43433</v>
      </c>
      <c r="B763" s="331">
        <v>252527.09</v>
      </c>
      <c r="C763" s="341"/>
      <c r="D763" s="331"/>
    </row>
    <row r="764" spans="1:4" x14ac:dyDescent="0.2">
      <c r="A764" s="728">
        <v>43434</v>
      </c>
      <c r="B764" s="331">
        <v>321968.59000000003</v>
      </c>
      <c r="C764" s="341"/>
      <c r="D764" s="331"/>
    </row>
    <row r="765" spans="1:4" x14ac:dyDescent="0.2">
      <c r="A765" s="728">
        <v>43437</v>
      </c>
      <c r="B765" s="331">
        <v>321969</v>
      </c>
      <c r="C765" s="341"/>
      <c r="D765" s="331"/>
    </row>
    <row r="766" spans="1:4" x14ac:dyDescent="0.2">
      <c r="A766" s="728">
        <v>43438</v>
      </c>
      <c r="B766" s="331">
        <v>321969</v>
      </c>
      <c r="C766" s="341"/>
      <c r="D766" s="331"/>
    </row>
    <row r="767" spans="1:4" x14ac:dyDescent="0.2">
      <c r="A767" s="728">
        <v>43439</v>
      </c>
      <c r="B767" s="331">
        <v>321969</v>
      </c>
      <c r="C767" s="341"/>
      <c r="D767" s="331"/>
    </row>
    <row r="768" spans="1:4" x14ac:dyDescent="0.2">
      <c r="A768" s="728">
        <v>43440</v>
      </c>
      <c r="B768" s="331">
        <v>314251.55</v>
      </c>
      <c r="C768" s="341"/>
      <c r="D768" s="331"/>
    </row>
    <row r="769" spans="1:4" x14ac:dyDescent="0.2">
      <c r="A769" s="728">
        <v>43441</v>
      </c>
      <c r="B769" s="331">
        <v>315739.42</v>
      </c>
      <c r="C769" s="341"/>
      <c r="D769" s="331"/>
    </row>
    <row r="770" spans="1:4" x14ac:dyDescent="0.2">
      <c r="A770" s="728">
        <v>43444</v>
      </c>
      <c r="B770" s="331">
        <v>315739</v>
      </c>
      <c r="C770" s="341"/>
      <c r="D770" s="331"/>
    </row>
    <row r="771" spans="1:4" x14ac:dyDescent="0.2">
      <c r="A771" s="728">
        <v>43445</v>
      </c>
      <c r="B771" s="331">
        <v>275506.94</v>
      </c>
      <c r="C771" s="341"/>
      <c r="D771" s="331"/>
    </row>
    <row r="772" spans="1:4" x14ac:dyDescent="0.2">
      <c r="A772" s="728">
        <v>43446</v>
      </c>
      <c r="B772" s="331">
        <v>275507</v>
      </c>
      <c r="C772" s="341"/>
      <c r="D772" s="331"/>
    </row>
    <row r="773" spans="1:4" x14ac:dyDescent="0.2">
      <c r="A773" s="728">
        <v>43447</v>
      </c>
      <c r="B773" s="331">
        <v>289896.89</v>
      </c>
      <c r="C773" s="341"/>
      <c r="D773" s="331"/>
    </row>
    <row r="774" spans="1:4" x14ac:dyDescent="0.2">
      <c r="A774" s="728">
        <v>43448</v>
      </c>
      <c r="B774" s="331">
        <v>313281.34999999998</v>
      </c>
      <c r="C774" s="341"/>
      <c r="D774" s="331"/>
    </row>
    <row r="775" spans="1:4" x14ac:dyDescent="0.2">
      <c r="A775" s="728">
        <v>43451</v>
      </c>
      <c r="B775" s="331">
        <v>313281</v>
      </c>
      <c r="C775" s="341"/>
      <c r="D775" s="331"/>
    </row>
    <row r="776" spans="1:4" x14ac:dyDescent="0.2">
      <c r="A776" s="728">
        <v>43452</v>
      </c>
      <c r="B776" s="331">
        <v>317556.84999999998</v>
      </c>
      <c r="C776" s="341"/>
      <c r="D776" s="331"/>
    </row>
    <row r="777" spans="1:4" x14ac:dyDescent="0.2">
      <c r="A777" s="728">
        <v>43453</v>
      </c>
      <c r="B777" s="331">
        <v>317557</v>
      </c>
      <c r="C777" s="341"/>
      <c r="D777" s="331"/>
    </row>
    <row r="778" spans="1:4" x14ac:dyDescent="0.2">
      <c r="A778" s="728">
        <v>43454</v>
      </c>
      <c r="B778" s="331">
        <v>297159.33</v>
      </c>
      <c r="C778" s="341"/>
      <c r="D778" s="331"/>
    </row>
    <row r="779" spans="1:4" x14ac:dyDescent="0.2">
      <c r="A779" s="728">
        <v>43455</v>
      </c>
      <c r="B779" s="331">
        <v>297159</v>
      </c>
      <c r="C779" s="341"/>
      <c r="D779" s="331"/>
    </row>
    <row r="780" spans="1:4" x14ac:dyDescent="0.2">
      <c r="A780" s="728">
        <v>43458</v>
      </c>
      <c r="B780" s="331">
        <v>260233.37</v>
      </c>
      <c r="C780" s="341"/>
      <c r="D780" s="331"/>
    </row>
    <row r="781" spans="1:4" x14ac:dyDescent="0.2">
      <c r="A781" s="728">
        <v>43459</v>
      </c>
      <c r="B781" s="331">
        <v>260233</v>
      </c>
      <c r="C781" s="341"/>
      <c r="D781" s="331"/>
    </row>
    <row r="782" spans="1:4" x14ac:dyDescent="0.2">
      <c r="A782" s="728">
        <v>43460</v>
      </c>
      <c r="B782" s="331">
        <v>261845.78</v>
      </c>
      <c r="C782" s="341"/>
      <c r="D782" s="331"/>
    </row>
    <row r="783" spans="1:4" x14ac:dyDescent="0.2">
      <c r="A783" s="728">
        <v>43461</v>
      </c>
      <c r="B783" s="331">
        <v>261846</v>
      </c>
      <c r="C783" s="341"/>
      <c r="D783" s="331"/>
    </row>
    <row r="784" spans="1:4" x14ac:dyDescent="0.2">
      <c r="A784" s="728">
        <v>43462</v>
      </c>
      <c r="B784" s="331">
        <v>273805.40000000002</v>
      </c>
      <c r="C784" s="341"/>
      <c r="D784" s="331"/>
    </row>
    <row r="785" spans="1:4" x14ac:dyDescent="0.2">
      <c r="A785" s="728">
        <v>43465</v>
      </c>
      <c r="B785" s="331">
        <v>274101.40000000002</v>
      </c>
      <c r="C785" s="341"/>
      <c r="D785" s="331"/>
    </row>
    <row r="786" spans="1:4" x14ac:dyDescent="0.2">
      <c r="A786" s="728">
        <v>43466</v>
      </c>
      <c r="B786" s="331">
        <v>274101</v>
      </c>
      <c r="C786" s="341"/>
      <c r="D786" s="331"/>
    </row>
    <row r="787" spans="1:4" x14ac:dyDescent="0.2">
      <c r="A787" s="728">
        <v>43467</v>
      </c>
      <c r="B787" s="331">
        <v>299108.40000000002</v>
      </c>
      <c r="C787" s="341"/>
      <c r="D787" s="331"/>
    </row>
    <row r="788" spans="1:4" x14ac:dyDescent="0.2">
      <c r="A788" s="728">
        <v>43468</v>
      </c>
      <c r="B788" s="331">
        <v>298070.78000000003</v>
      </c>
      <c r="C788" s="341"/>
      <c r="D788" s="331"/>
    </row>
    <row r="789" spans="1:4" x14ac:dyDescent="0.2">
      <c r="A789" s="728">
        <v>43469</v>
      </c>
      <c r="B789" s="331">
        <v>298071</v>
      </c>
      <c r="C789" s="341"/>
      <c r="D789" s="331"/>
    </row>
    <row r="790" spans="1:4" x14ac:dyDescent="0.2">
      <c r="A790" s="728">
        <v>43472</v>
      </c>
      <c r="B790" s="331">
        <v>298430.78000000003</v>
      </c>
      <c r="C790" s="341"/>
      <c r="D790" s="331"/>
    </row>
    <row r="791" spans="1:4" x14ac:dyDescent="0.2">
      <c r="A791" s="728">
        <v>43473</v>
      </c>
      <c r="B791" s="331">
        <v>264835.63</v>
      </c>
      <c r="C791" s="341"/>
      <c r="D791" s="331"/>
    </row>
    <row r="792" spans="1:4" x14ac:dyDescent="0.2">
      <c r="A792" s="728">
        <v>43474</v>
      </c>
      <c r="B792" s="331">
        <v>303664.65999999997</v>
      </c>
      <c r="C792" s="341"/>
      <c r="D792" s="331"/>
    </row>
    <row r="793" spans="1:4" x14ac:dyDescent="0.2">
      <c r="A793" s="728">
        <v>43475</v>
      </c>
      <c r="B793" s="331">
        <v>299790.71999999997</v>
      </c>
      <c r="C793" s="341"/>
      <c r="D793" s="331"/>
    </row>
    <row r="794" spans="1:4" x14ac:dyDescent="0.2">
      <c r="A794" s="728">
        <v>43476</v>
      </c>
      <c r="B794" s="364">
        <v>309881.71999999997</v>
      </c>
      <c r="C794" s="341"/>
      <c r="D794" s="331"/>
    </row>
    <row r="795" spans="1:4" x14ac:dyDescent="0.2">
      <c r="A795" s="728">
        <v>43479</v>
      </c>
      <c r="B795" s="331">
        <v>284374.78999999998</v>
      </c>
      <c r="C795" s="341"/>
      <c r="D795" s="331"/>
    </row>
    <row r="796" spans="1:4" x14ac:dyDescent="0.2">
      <c r="A796" s="728">
        <v>43480</v>
      </c>
      <c r="B796" s="331">
        <v>284494.75</v>
      </c>
      <c r="C796" s="341"/>
      <c r="D796" s="331"/>
    </row>
    <row r="797" spans="1:4" x14ac:dyDescent="0.2">
      <c r="A797" s="728">
        <v>43481</v>
      </c>
      <c r="B797" s="331">
        <v>277370.03000000003</v>
      </c>
      <c r="C797" s="341"/>
      <c r="D797" s="331"/>
    </row>
    <row r="798" spans="1:4" x14ac:dyDescent="0.2">
      <c r="A798" s="728">
        <v>43482</v>
      </c>
      <c r="B798" s="331">
        <v>266103.65999999997</v>
      </c>
      <c r="C798" s="341"/>
      <c r="D798" s="331"/>
    </row>
    <row r="799" spans="1:4" x14ac:dyDescent="0.2">
      <c r="A799" s="728">
        <v>43483</v>
      </c>
      <c r="B799" s="331">
        <v>266189.65999999997</v>
      </c>
      <c r="C799" s="341"/>
      <c r="D799" s="331"/>
    </row>
    <row r="800" spans="1:4" x14ac:dyDescent="0.2">
      <c r="A800" s="728">
        <v>43486</v>
      </c>
      <c r="B800" s="331">
        <v>266190</v>
      </c>
      <c r="C800" s="341"/>
      <c r="D800" s="331"/>
    </row>
    <row r="801" spans="1:4" x14ac:dyDescent="0.2">
      <c r="A801" s="728">
        <v>43487</v>
      </c>
      <c r="B801" s="331">
        <v>228832.05</v>
      </c>
      <c r="C801" s="341"/>
      <c r="D801" s="331"/>
    </row>
    <row r="802" spans="1:4" x14ac:dyDescent="0.2">
      <c r="A802" s="728">
        <v>43488</v>
      </c>
      <c r="B802" s="331">
        <v>229285.41</v>
      </c>
      <c r="C802" s="341"/>
      <c r="D802" s="331"/>
    </row>
    <row r="803" spans="1:4" x14ac:dyDescent="0.2">
      <c r="A803" s="728">
        <v>43489</v>
      </c>
      <c r="B803" s="331">
        <v>236709.42</v>
      </c>
      <c r="C803" s="341"/>
      <c r="D803" s="331"/>
    </row>
    <row r="804" spans="1:4" x14ac:dyDescent="0.2">
      <c r="A804" s="728">
        <v>43490</v>
      </c>
      <c r="B804" s="331">
        <v>236709</v>
      </c>
      <c r="C804" s="341"/>
      <c r="D804" s="331"/>
    </row>
    <row r="805" spans="1:4" x14ac:dyDescent="0.2">
      <c r="A805" s="728">
        <v>43493</v>
      </c>
      <c r="B805" s="331">
        <v>236400.88</v>
      </c>
      <c r="C805" s="341"/>
      <c r="D805" s="331"/>
    </row>
    <row r="806" spans="1:4" x14ac:dyDescent="0.2">
      <c r="A806" s="728">
        <v>43494</v>
      </c>
      <c r="B806" s="331">
        <v>236401</v>
      </c>
      <c r="C806" s="341"/>
      <c r="D806" s="331"/>
    </row>
    <row r="807" spans="1:4" x14ac:dyDescent="0.2">
      <c r="A807" s="728">
        <v>43495</v>
      </c>
      <c r="B807" s="331">
        <v>236401</v>
      </c>
      <c r="C807" s="341"/>
      <c r="D807" s="331"/>
    </row>
    <row r="808" spans="1:4" x14ac:dyDescent="0.2">
      <c r="A808" s="728">
        <v>43496</v>
      </c>
      <c r="B808" s="331">
        <v>237605.71</v>
      </c>
      <c r="C808" s="341"/>
      <c r="D808" s="331"/>
    </row>
    <row r="809" spans="1:4" x14ac:dyDescent="0.2">
      <c r="A809" s="728">
        <v>43497</v>
      </c>
      <c r="B809" s="331">
        <v>237728.71</v>
      </c>
      <c r="C809" s="341"/>
      <c r="D809" s="331"/>
    </row>
    <row r="810" spans="1:4" x14ac:dyDescent="0.2">
      <c r="A810" s="728">
        <v>43500</v>
      </c>
      <c r="B810" s="331">
        <v>201980</v>
      </c>
      <c r="C810" s="341"/>
      <c r="D810" s="331"/>
    </row>
    <row r="811" spans="1:4" x14ac:dyDescent="0.2">
      <c r="A811" s="728">
        <v>43501</v>
      </c>
      <c r="B811" s="331">
        <v>225615.34</v>
      </c>
      <c r="C811" s="341"/>
      <c r="D811" s="331"/>
    </row>
    <row r="812" spans="1:4" x14ac:dyDescent="0.2">
      <c r="A812" s="728">
        <v>43502</v>
      </c>
      <c r="B812" s="331">
        <v>225615</v>
      </c>
      <c r="C812" s="341"/>
      <c r="D812" s="331"/>
    </row>
    <row r="813" spans="1:4" x14ac:dyDescent="0.2">
      <c r="A813" s="728">
        <v>43503</v>
      </c>
      <c r="B813" s="331">
        <v>219151.3</v>
      </c>
      <c r="C813" s="341"/>
      <c r="D813" s="331"/>
    </row>
    <row r="814" spans="1:4" x14ac:dyDescent="0.2">
      <c r="A814" s="728">
        <v>43504</v>
      </c>
      <c r="B814" s="331">
        <v>219351.3</v>
      </c>
      <c r="C814" s="341"/>
      <c r="D814" s="331"/>
    </row>
    <row r="815" spans="1:4" x14ac:dyDescent="0.2">
      <c r="A815" s="728">
        <v>43507</v>
      </c>
      <c r="B815" s="331">
        <v>219351</v>
      </c>
      <c r="C815" s="341"/>
      <c r="D815" s="331"/>
    </row>
    <row r="816" spans="1:4" x14ac:dyDescent="0.2">
      <c r="A816" s="728">
        <v>43508</v>
      </c>
      <c r="B816" s="331">
        <v>219351</v>
      </c>
      <c r="C816" s="341"/>
      <c r="D816" s="331"/>
    </row>
    <row r="817" spans="1:4" x14ac:dyDescent="0.2">
      <c r="A817" s="728">
        <v>43509</v>
      </c>
      <c r="B817" s="331">
        <v>219351</v>
      </c>
      <c r="C817" s="341"/>
      <c r="D817" s="331"/>
    </row>
    <row r="818" spans="1:4" x14ac:dyDescent="0.2">
      <c r="A818" s="728">
        <v>43510</v>
      </c>
      <c r="B818" s="331">
        <v>206758.66</v>
      </c>
      <c r="C818" s="341"/>
      <c r="D818" s="331"/>
    </row>
    <row r="819" spans="1:4" x14ac:dyDescent="0.2">
      <c r="A819" s="728">
        <v>43511</v>
      </c>
      <c r="B819" s="331">
        <v>234837.55</v>
      </c>
      <c r="C819" s="341"/>
      <c r="D819" s="331"/>
    </row>
    <row r="820" spans="1:4" x14ac:dyDescent="0.2">
      <c r="A820" s="728">
        <v>43514</v>
      </c>
      <c r="B820" s="331">
        <v>234838</v>
      </c>
      <c r="C820" s="341"/>
      <c r="D820" s="331"/>
    </row>
    <row r="821" spans="1:4" x14ac:dyDescent="0.2">
      <c r="A821" s="728">
        <v>43515</v>
      </c>
      <c r="B821" s="331">
        <v>199113.26</v>
      </c>
      <c r="C821" s="341"/>
      <c r="D821" s="331"/>
    </row>
    <row r="822" spans="1:4" x14ac:dyDescent="0.2">
      <c r="A822" s="728">
        <v>43516</v>
      </c>
      <c r="B822" s="331">
        <v>199113</v>
      </c>
      <c r="C822" s="341"/>
      <c r="D822" s="331"/>
    </row>
    <row r="823" spans="1:4" x14ac:dyDescent="0.2">
      <c r="A823" s="728">
        <v>43517</v>
      </c>
      <c r="B823" s="331">
        <v>205400.17</v>
      </c>
      <c r="C823" s="341"/>
      <c r="D823" s="331"/>
    </row>
    <row r="824" spans="1:4" x14ac:dyDescent="0.2">
      <c r="A824" s="728">
        <v>43518</v>
      </c>
      <c r="B824" s="331">
        <v>220161.91</v>
      </c>
      <c r="C824" s="341"/>
      <c r="D824" s="331"/>
    </row>
    <row r="825" spans="1:4" x14ac:dyDescent="0.2">
      <c r="A825" s="728">
        <v>43521</v>
      </c>
      <c r="B825" s="331">
        <v>220161.91</v>
      </c>
      <c r="C825" s="341"/>
      <c r="D825" s="331"/>
    </row>
    <row r="826" spans="1:4" x14ac:dyDescent="0.2">
      <c r="A826" s="728">
        <v>43522</v>
      </c>
      <c r="B826" s="331">
        <v>220161.91</v>
      </c>
      <c r="C826" s="341"/>
      <c r="D826" s="331"/>
    </row>
    <row r="827" spans="1:4" x14ac:dyDescent="0.2">
      <c r="A827" s="728">
        <v>43523</v>
      </c>
      <c r="B827" s="331">
        <v>220161.91</v>
      </c>
      <c r="C827" s="341"/>
      <c r="D827" s="331"/>
    </row>
    <row r="828" spans="1:4" x14ac:dyDescent="0.2">
      <c r="A828" s="728">
        <v>43524</v>
      </c>
      <c r="B828" s="331">
        <v>224635.26</v>
      </c>
      <c r="C828" s="341"/>
      <c r="D828" s="331"/>
    </row>
    <row r="829" spans="1:4" x14ac:dyDescent="0.2">
      <c r="A829" s="728">
        <v>43525</v>
      </c>
      <c r="B829" s="331">
        <v>298900.61</v>
      </c>
      <c r="C829" s="341"/>
      <c r="D829" s="331"/>
    </row>
    <row r="830" spans="1:4" x14ac:dyDescent="0.2">
      <c r="A830" s="728">
        <v>43528</v>
      </c>
      <c r="B830" s="331">
        <v>262246.8</v>
      </c>
      <c r="C830" s="341"/>
      <c r="D830" s="331"/>
    </row>
    <row r="831" spans="1:4" x14ac:dyDescent="0.2">
      <c r="A831" s="728">
        <v>43529</v>
      </c>
      <c r="B831" s="331">
        <v>262247</v>
      </c>
      <c r="C831" s="341"/>
      <c r="D831" s="331"/>
    </row>
    <row r="832" spans="1:4" x14ac:dyDescent="0.2">
      <c r="A832" s="728">
        <v>43530</v>
      </c>
      <c r="B832" s="331">
        <v>262247</v>
      </c>
      <c r="C832" s="341"/>
      <c r="D832" s="331"/>
    </row>
    <row r="833" spans="1:4" x14ac:dyDescent="0.2">
      <c r="A833" s="728">
        <v>43531</v>
      </c>
      <c r="B833" s="331">
        <v>275395.15000000002</v>
      </c>
      <c r="C833" s="341"/>
      <c r="D833" s="331"/>
    </row>
    <row r="834" spans="1:4" x14ac:dyDescent="0.2">
      <c r="A834" s="728">
        <v>43532</v>
      </c>
      <c r="B834" s="331">
        <v>275395</v>
      </c>
      <c r="C834" s="341"/>
      <c r="D834" s="331"/>
    </row>
    <row r="835" spans="1:4" x14ac:dyDescent="0.2">
      <c r="A835" s="728">
        <v>43535</v>
      </c>
      <c r="B835" s="331">
        <v>275395</v>
      </c>
      <c r="C835" s="341"/>
      <c r="D835" s="331"/>
    </row>
    <row r="836" spans="1:4" x14ac:dyDescent="0.2">
      <c r="A836" s="728">
        <v>43536</v>
      </c>
      <c r="B836" s="331">
        <v>275395</v>
      </c>
      <c r="C836" s="341"/>
      <c r="D836" s="331"/>
    </row>
    <row r="837" spans="1:4" x14ac:dyDescent="0.2">
      <c r="A837" s="728">
        <v>43537</v>
      </c>
      <c r="B837" s="331">
        <v>316802.46999999997</v>
      </c>
      <c r="C837" s="341"/>
      <c r="D837" s="331"/>
    </row>
    <row r="838" spans="1:4" x14ac:dyDescent="0.2">
      <c r="A838" s="728">
        <v>43538</v>
      </c>
      <c r="B838" s="331">
        <v>297067.40000000002</v>
      </c>
      <c r="C838" s="341"/>
      <c r="D838" s="331"/>
    </row>
    <row r="839" spans="1:4" x14ac:dyDescent="0.2">
      <c r="A839" s="728">
        <v>43539</v>
      </c>
      <c r="B839" s="331">
        <v>300574.83</v>
      </c>
      <c r="C839" s="341"/>
      <c r="D839" s="331"/>
    </row>
    <row r="840" spans="1:4" x14ac:dyDescent="0.2">
      <c r="A840" s="728">
        <v>43542</v>
      </c>
      <c r="B840" s="331">
        <v>264695.24</v>
      </c>
      <c r="C840" s="341"/>
      <c r="D840" s="331"/>
    </row>
    <row r="841" spans="1:4" x14ac:dyDescent="0.2">
      <c r="A841" s="728">
        <v>43543</v>
      </c>
      <c r="B841" s="331">
        <v>264695</v>
      </c>
      <c r="C841" s="341"/>
      <c r="D841" s="331"/>
    </row>
    <row r="842" spans="1:4" x14ac:dyDescent="0.2">
      <c r="A842" s="728">
        <v>43544</v>
      </c>
      <c r="B842" s="331">
        <v>264695</v>
      </c>
      <c r="C842" s="341"/>
      <c r="D842" s="331"/>
    </row>
    <row r="843" spans="1:4" x14ac:dyDescent="0.2">
      <c r="A843" s="728">
        <v>43545</v>
      </c>
      <c r="B843" s="331">
        <v>282838.67</v>
      </c>
      <c r="C843" s="341"/>
      <c r="D843" s="331"/>
    </row>
    <row r="844" spans="1:4" x14ac:dyDescent="0.2">
      <c r="A844" s="728">
        <v>43546</v>
      </c>
      <c r="B844" s="331">
        <v>282839</v>
      </c>
      <c r="C844" s="341"/>
      <c r="D844" s="331"/>
    </row>
    <row r="845" spans="1:4" x14ac:dyDescent="0.2">
      <c r="A845" s="728">
        <v>43549</v>
      </c>
      <c r="B845" s="364">
        <v>333807.26</v>
      </c>
      <c r="C845" s="341"/>
      <c r="D845" s="331"/>
    </row>
    <row r="846" spans="1:4" x14ac:dyDescent="0.2">
      <c r="A846" s="728">
        <v>43550</v>
      </c>
      <c r="B846" s="331">
        <v>332295.96000000002</v>
      </c>
      <c r="C846" s="341"/>
      <c r="D846" s="331"/>
    </row>
    <row r="847" spans="1:4" x14ac:dyDescent="0.2">
      <c r="A847" s="728">
        <v>43551</v>
      </c>
      <c r="B847" s="331">
        <v>325401.01</v>
      </c>
      <c r="C847" s="341"/>
      <c r="D847" s="331"/>
    </row>
    <row r="848" spans="1:4" x14ac:dyDescent="0.2">
      <c r="A848" s="728">
        <v>43552</v>
      </c>
      <c r="B848" s="331">
        <v>328793.55</v>
      </c>
      <c r="C848" s="341"/>
      <c r="D848" s="331"/>
    </row>
    <row r="849" spans="1:4" x14ac:dyDescent="0.2">
      <c r="A849" s="728">
        <v>43553</v>
      </c>
      <c r="B849" s="331">
        <v>329088.55</v>
      </c>
      <c r="C849" s="341"/>
      <c r="D849" s="331"/>
    </row>
    <row r="850" spans="1:4" x14ac:dyDescent="0.2">
      <c r="A850" s="728">
        <v>43556</v>
      </c>
      <c r="B850" s="331">
        <v>328488.55</v>
      </c>
      <c r="C850" s="341"/>
      <c r="D850" s="331"/>
    </row>
    <row r="851" spans="1:4" x14ac:dyDescent="0.2">
      <c r="A851" s="728">
        <v>43557</v>
      </c>
      <c r="B851" s="331">
        <v>292528.71999999997</v>
      </c>
      <c r="C851" s="341"/>
      <c r="D851" s="331"/>
    </row>
    <row r="852" spans="1:4" x14ac:dyDescent="0.2">
      <c r="A852" s="728">
        <v>43558</v>
      </c>
      <c r="B852" s="331">
        <v>294672.43</v>
      </c>
      <c r="C852" s="341"/>
      <c r="D852" s="331"/>
    </row>
    <row r="853" spans="1:4" x14ac:dyDescent="0.2">
      <c r="A853" s="728">
        <v>43559</v>
      </c>
      <c r="B853" s="331">
        <v>292850.33</v>
      </c>
      <c r="C853" s="341"/>
      <c r="D853" s="331"/>
    </row>
    <row r="854" spans="1:4" x14ac:dyDescent="0.2">
      <c r="A854" s="728">
        <v>43560</v>
      </c>
      <c r="B854" s="331">
        <v>284702.78999999998</v>
      </c>
      <c r="C854" s="341"/>
      <c r="D854" s="331"/>
    </row>
    <row r="855" spans="1:4" x14ac:dyDescent="0.2">
      <c r="A855" s="728">
        <v>43563</v>
      </c>
      <c r="B855" s="331">
        <v>284703</v>
      </c>
      <c r="C855" s="341"/>
      <c r="D855" s="331"/>
    </row>
    <row r="856" spans="1:4" x14ac:dyDescent="0.2">
      <c r="A856" s="728">
        <v>43564</v>
      </c>
      <c r="B856" s="331">
        <v>284775.52</v>
      </c>
      <c r="C856" s="341"/>
      <c r="D856" s="331"/>
    </row>
    <row r="857" spans="1:4" x14ac:dyDescent="0.2">
      <c r="A857" s="728">
        <v>43565</v>
      </c>
      <c r="B857" s="331">
        <v>284776</v>
      </c>
      <c r="C857" s="341"/>
      <c r="D857" s="331"/>
    </row>
    <row r="858" spans="1:4" x14ac:dyDescent="0.2">
      <c r="A858" s="728">
        <v>43566</v>
      </c>
      <c r="B858" s="331">
        <v>277335.02</v>
      </c>
      <c r="C858" s="341"/>
      <c r="D858" s="331"/>
    </row>
    <row r="859" spans="1:4" x14ac:dyDescent="0.2">
      <c r="A859" s="728">
        <v>43567</v>
      </c>
      <c r="B859" s="331">
        <v>277335</v>
      </c>
      <c r="C859" s="341"/>
      <c r="D859" s="331"/>
    </row>
    <row r="860" spans="1:4" x14ac:dyDescent="0.2">
      <c r="A860" s="728">
        <v>43570</v>
      </c>
      <c r="B860" s="331">
        <v>277462.90999999997</v>
      </c>
      <c r="C860" s="341"/>
      <c r="D860" s="331"/>
    </row>
    <row r="861" spans="1:4" x14ac:dyDescent="0.2">
      <c r="A861" s="728">
        <v>43571</v>
      </c>
      <c r="B861" s="331">
        <v>241180.07</v>
      </c>
      <c r="C861" s="341"/>
      <c r="D861" s="331"/>
    </row>
    <row r="862" spans="1:4" x14ac:dyDescent="0.2">
      <c r="A862" s="728">
        <v>43572</v>
      </c>
      <c r="B862" s="331">
        <v>257634.61</v>
      </c>
      <c r="C862" s="341"/>
      <c r="D862" s="331"/>
    </row>
    <row r="863" spans="1:4" x14ac:dyDescent="0.2">
      <c r="A863" s="728">
        <v>43573</v>
      </c>
      <c r="B863" s="331">
        <v>241154.55</v>
      </c>
      <c r="C863" s="341"/>
      <c r="D863" s="331"/>
    </row>
    <row r="864" spans="1:4" x14ac:dyDescent="0.2">
      <c r="A864" s="728">
        <v>43574</v>
      </c>
      <c r="B864" s="331">
        <v>243162.78</v>
      </c>
      <c r="C864" s="341"/>
      <c r="D864" s="331"/>
    </row>
    <row r="865" spans="1:4" x14ac:dyDescent="0.2">
      <c r="A865" s="728">
        <v>43577</v>
      </c>
      <c r="B865" s="331">
        <v>243003.93</v>
      </c>
      <c r="C865" s="341"/>
      <c r="D865" s="331"/>
    </row>
    <row r="866" spans="1:4" x14ac:dyDescent="0.2">
      <c r="A866" s="728">
        <v>43578</v>
      </c>
      <c r="B866" s="331">
        <v>243004</v>
      </c>
      <c r="C866" s="341"/>
      <c r="D866" s="331"/>
    </row>
    <row r="867" spans="1:4" x14ac:dyDescent="0.2">
      <c r="A867" s="728">
        <v>43579</v>
      </c>
      <c r="B867" s="331">
        <v>243060.55</v>
      </c>
      <c r="C867" s="341"/>
      <c r="D867" s="331"/>
    </row>
    <row r="868" spans="1:4" x14ac:dyDescent="0.2">
      <c r="A868" s="728">
        <v>43580</v>
      </c>
      <c r="B868" s="331">
        <v>245074.5</v>
      </c>
      <c r="C868" s="341"/>
      <c r="D868" s="331"/>
    </row>
    <row r="869" spans="1:4" x14ac:dyDescent="0.2">
      <c r="A869" s="728">
        <v>43581</v>
      </c>
      <c r="B869" s="331">
        <v>274493.84000000003</v>
      </c>
      <c r="C869" s="341"/>
      <c r="D869" s="331"/>
    </row>
    <row r="870" spans="1:4" x14ac:dyDescent="0.2">
      <c r="A870" s="728">
        <v>43584</v>
      </c>
      <c r="B870" s="331">
        <v>274494</v>
      </c>
      <c r="C870" s="341"/>
      <c r="D870" s="331"/>
    </row>
    <row r="871" spans="1:4" x14ac:dyDescent="0.2">
      <c r="A871" s="728">
        <v>43585</v>
      </c>
      <c r="B871" s="331">
        <v>268536.75</v>
      </c>
      <c r="C871" s="341"/>
      <c r="D871" s="331"/>
    </row>
    <row r="872" spans="1:4" x14ac:dyDescent="0.2">
      <c r="A872" s="728">
        <v>43586</v>
      </c>
      <c r="B872" s="331">
        <v>249086.1</v>
      </c>
      <c r="C872" s="341"/>
      <c r="D872" s="331"/>
    </row>
    <row r="873" spans="1:4" x14ac:dyDescent="0.2">
      <c r="A873" s="728">
        <v>43587</v>
      </c>
      <c r="B873" s="331">
        <v>253347.36</v>
      </c>
      <c r="C873" s="341"/>
      <c r="D873" s="331"/>
    </row>
    <row r="874" spans="1:4" x14ac:dyDescent="0.2">
      <c r="A874" s="728">
        <v>43588</v>
      </c>
      <c r="B874" s="331">
        <v>253347</v>
      </c>
      <c r="C874" s="341"/>
      <c r="D874" s="331"/>
    </row>
    <row r="875" spans="1:4" x14ac:dyDescent="0.2">
      <c r="A875" s="728">
        <v>43591</v>
      </c>
      <c r="B875" s="331">
        <v>253347</v>
      </c>
      <c r="C875" s="341"/>
      <c r="D875" s="331"/>
    </row>
    <row r="876" spans="1:4" x14ac:dyDescent="0.2">
      <c r="A876" s="728">
        <v>43592</v>
      </c>
      <c r="B876" s="331">
        <v>253347</v>
      </c>
      <c r="C876" s="341"/>
      <c r="D876" s="331"/>
    </row>
    <row r="877" spans="1:4" x14ac:dyDescent="0.2">
      <c r="A877" s="728">
        <v>43593</v>
      </c>
      <c r="B877" s="331">
        <v>253347</v>
      </c>
      <c r="C877" s="341"/>
      <c r="D877" s="331"/>
    </row>
    <row r="878" spans="1:4" x14ac:dyDescent="0.2">
      <c r="A878" s="728">
        <v>43594</v>
      </c>
      <c r="B878" s="331">
        <v>256363.47</v>
      </c>
      <c r="C878" s="341"/>
      <c r="D878" s="331"/>
    </row>
    <row r="879" spans="1:4" x14ac:dyDescent="0.2">
      <c r="A879" s="728">
        <v>43595</v>
      </c>
      <c r="B879" s="331">
        <v>256363</v>
      </c>
      <c r="C879" s="341"/>
      <c r="D879" s="331"/>
    </row>
    <row r="880" spans="1:4" x14ac:dyDescent="0.2">
      <c r="A880" s="728">
        <v>43598</v>
      </c>
      <c r="B880" s="331">
        <v>256363</v>
      </c>
      <c r="C880" s="341"/>
      <c r="D880" s="331"/>
    </row>
    <row r="881" spans="1:4" x14ac:dyDescent="0.2">
      <c r="A881" s="728">
        <v>43599</v>
      </c>
      <c r="B881" s="331">
        <v>220671.47</v>
      </c>
      <c r="C881" s="341"/>
      <c r="D881" s="331"/>
    </row>
    <row r="882" spans="1:4" x14ac:dyDescent="0.2">
      <c r="A882" s="728">
        <v>43600</v>
      </c>
      <c r="B882" s="331">
        <v>248680.89</v>
      </c>
      <c r="C882" s="341"/>
      <c r="D882" s="331"/>
    </row>
    <row r="883" spans="1:4" x14ac:dyDescent="0.2">
      <c r="A883" s="728">
        <v>43601</v>
      </c>
      <c r="B883" s="331">
        <v>254567.98</v>
      </c>
      <c r="C883" s="341"/>
      <c r="D883" s="331"/>
    </row>
    <row r="884" spans="1:4" x14ac:dyDescent="0.2">
      <c r="A884" s="728">
        <v>43602</v>
      </c>
      <c r="B884" s="331">
        <v>310563.12</v>
      </c>
      <c r="C884" s="341"/>
      <c r="D884" s="331"/>
    </row>
    <row r="885" spans="1:4" x14ac:dyDescent="0.2">
      <c r="A885" s="728">
        <v>43605</v>
      </c>
      <c r="B885" s="331">
        <v>310000.12</v>
      </c>
      <c r="C885" s="341"/>
      <c r="D885" s="331"/>
    </row>
    <row r="886" spans="1:4" x14ac:dyDescent="0.2">
      <c r="A886" s="728">
        <v>43606</v>
      </c>
      <c r="B886" s="331">
        <v>310000.12</v>
      </c>
      <c r="C886" s="341"/>
      <c r="D886" s="331"/>
    </row>
    <row r="887" spans="1:4" x14ac:dyDescent="0.2">
      <c r="A887" s="728">
        <v>43607</v>
      </c>
      <c r="B887" s="331">
        <v>310000.12</v>
      </c>
      <c r="C887" s="341"/>
      <c r="D887" s="331"/>
    </row>
    <row r="888" spans="1:4" x14ac:dyDescent="0.2">
      <c r="A888" s="728">
        <v>43608</v>
      </c>
      <c r="B888" s="331">
        <v>300109.28999999998</v>
      </c>
      <c r="C888" s="341"/>
      <c r="D888" s="331"/>
    </row>
    <row r="889" spans="1:4" x14ac:dyDescent="0.2">
      <c r="A889" s="728">
        <v>43609</v>
      </c>
      <c r="B889" s="331">
        <v>297396.90999999997</v>
      </c>
      <c r="C889" s="341"/>
      <c r="D889" s="331"/>
    </row>
    <row r="890" spans="1:4" x14ac:dyDescent="0.2">
      <c r="A890" s="728">
        <v>43612</v>
      </c>
      <c r="B890" s="331">
        <v>297397</v>
      </c>
      <c r="C890" s="341"/>
      <c r="D890" s="331"/>
    </row>
    <row r="891" spans="1:4" x14ac:dyDescent="0.2">
      <c r="A891" s="728">
        <v>43613</v>
      </c>
      <c r="B891" s="331">
        <v>309520.18</v>
      </c>
      <c r="C891" s="341"/>
      <c r="D891" s="331"/>
    </row>
    <row r="892" spans="1:4" x14ac:dyDescent="0.2">
      <c r="A892" s="728">
        <v>43614</v>
      </c>
      <c r="B892" s="331">
        <v>309520</v>
      </c>
      <c r="C892" s="341"/>
      <c r="D892" s="331"/>
    </row>
    <row r="893" spans="1:4" x14ac:dyDescent="0.2">
      <c r="A893" s="728">
        <v>43615</v>
      </c>
      <c r="B893" s="331">
        <v>306153.90000000002</v>
      </c>
      <c r="C893" s="341"/>
      <c r="D893" s="331"/>
    </row>
    <row r="894" spans="1:4" x14ac:dyDescent="0.2">
      <c r="A894" s="728">
        <v>43616</v>
      </c>
      <c r="B894" s="331">
        <v>307621.78000000003</v>
      </c>
      <c r="C894" s="341"/>
      <c r="D894" s="331"/>
    </row>
    <row r="895" spans="1:4" x14ac:dyDescent="0.2">
      <c r="A895" s="728">
        <v>43619</v>
      </c>
      <c r="B895" s="331">
        <v>307288.12</v>
      </c>
      <c r="C895" s="341"/>
      <c r="D895" s="331"/>
    </row>
    <row r="896" spans="1:4" x14ac:dyDescent="0.2">
      <c r="A896" s="728">
        <v>43620</v>
      </c>
      <c r="B896" s="331">
        <v>307288</v>
      </c>
      <c r="C896" s="341"/>
      <c r="D896" s="331"/>
    </row>
    <row r="897" spans="1:4" x14ac:dyDescent="0.2">
      <c r="A897" s="728">
        <v>43621</v>
      </c>
      <c r="B897" s="331">
        <v>307288</v>
      </c>
      <c r="C897" s="341"/>
      <c r="D897" s="331"/>
    </row>
    <row r="898" spans="1:4" x14ac:dyDescent="0.2">
      <c r="A898" s="728">
        <v>43622</v>
      </c>
      <c r="B898" s="331">
        <v>296580.19</v>
      </c>
      <c r="C898" s="341"/>
      <c r="D898" s="331"/>
    </row>
    <row r="899" spans="1:4" x14ac:dyDescent="0.2">
      <c r="A899" s="728">
        <v>43623</v>
      </c>
      <c r="B899" s="331">
        <v>295981.95</v>
      </c>
      <c r="C899" s="341"/>
      <c r="D899" s="331"/>
    </row>
    <row r="900" spans="1:4" x14ac:dyDescent="0.2">
      <c r="A900" s="728">
        <v>43626</v>
      </c>
      <c r="B900" s="331">
        <v>260513.06</v>
      </c>
      <c r="C900" s="341"/>
      <c r="D900" s="331"/>
    </row>
    <row r="901" spans="1:4" x14ac:dyDescent="0.2">
      <c r="A901" s="728">
        <v>43627</v>
      </c>
      <c r="B901" s="331">
        <v>260513</v>
      </c>
      <c r="C901" s="341"/>
      <c r="D901" s="331"/>
    </row>
    <row r="902" spans="1:4" x14ac:dyDescent="0.2">
      <c r="A902" s="728">
        <v>43628</v>
      </c>
      <c r="B902" s="331">
        <v>260513</v>
      </c>
      <c r="C902" s="341"/>
      <c r="D902" s="331"/>
    </row>
    <row r="903" spans="1:4" x14ac:dyDescent="0.2">
      <c r="A903" s="728">
        <v>43629</v>
      </c>
      <c r="B903" s="331">
        <v>255966.98</v>
      </c>
      <c r="C903" s="341"/>
      <c r="D903" s="331"/>
    </row>
    <row r="904" spans="1:4" x14ac:dyDescent="0.2">
      <c r="A904" s="728">
        <v>43630</v>
      </c>
      <c r="B904" s="331">
        <v>257507.94</v>
      </c>
      <c r="C904" s="341"/>
      <c r="D904" s="331"/>
    </row>
    <row r="905" spans="1:4" x14ac:dyDescent="0.2">
      <c r="A905" s="728">
        <v>43633</v>
      </c>
      <c r="B905" s="331">
        <v>257508</v>
      </c>
      <c r="C905" s="341"/>
      <c r="D905" s="331"/>
    </row>
    <row r="906" spans="1:4" x14ac:dyDescent="0.2">
      <c r="A906" s="728">
        <v>43634</v>
      </c>
      <c r="B906" s="331">
        <v>257508</v>
      </c>
      <c r="C906" s="341"/>
      <c r="D906" s="331"/>
    </row>
    <row r="907" spans="1:4" x14ac:dyDescent="0.2">
      <c r="A907" s="728">
        <v>43635</v>
      </c>
      <c r="B907" s="331">
        <v>257508</v>
      </c>
      <c r="C907" s="341"/>
      <c r="D907" s="331"/>
    </row>
    <row r="908" spans="1:4" x14ac:dyDescent="0.2">
      <c r="A908" s="728">
        <v>43636</v>
      </c>
      <c r="B908" s="331">
        <v>245601.94</v>
      </c>
      <c r="C908" s="341"/>
      <c r="D908" s="331"/>
    </row>
    <row r="909" spans="1:4" x14ac:dyDescent="0.2">
      <c r="A909" s="728">
        <v>43637</v>
      </c>
      <c r="B909" s="331">
        <v>245768.94</v>
      </c>
      <c r="C909" s="341"/>
      <c r="D909" s="331"/>
    </row>
    <row r="910" spans="1:4" x14ac:dyDescent="0.2">
      <c r="A910" s="728">
        <v>43640</v>
      </c>
      <c r="B910" s="331">
        <v>245769</v>
      </c>
      <c r="C910" s="341"/>
      <c r="D910" s="331"/>
    </row>
    <row r="911" spans="1:4" x14ac:dyDescent="0.2">
      <c r="A911" s="728">
        <v>43641</v>
      </c>
      <c r="B911" s="331">
        <v>209143.06</v>
      </c>
      <c r="C911" s="341"/>
      <c r="D911" s="331"/>
    </row>
    <row r="912" spans="1:4" x14ac:dyDescent="0.2">
      <c r="A912" s="728">
        <v>43642</v>
      </c>
      <c r="B912" s="331">
        <v>216087.16</v>
      </c>
      <c r="C912" s="341"/>
      <c r="D912" s="331"/>
    </row>
    <row r="913" spans="1:4" x14ac:dyDescent="0.2">
      <c r="A913" s="728">
        <v>43643</v>
      </c>
      <c r="B913" s="331">
        <v>218399.34</v>
      </c>
      <c r="C913" s="341"/>
      <c r="D913" s="331"/>
    </row>
    <row r="914" spans="1:4" x14ac:dyDescent="0.2">
      <c r="A914" s="728">
        <v>43644</v>
      </c>
      <c r="B914" s="331">
        <v>246675.15</v>
      </c>
      <c r="C914" s="341"/>
      <c r="D914" s="331"/>
    </row>
    <row r="915" spans="1:4" x14ac:dyDescent="0.2">
      <c r="A915" s="728">
        <v>43647</v>
      </c>
      <c r="B915" s="331">
        <v>246675</v>
      </c>
      <c r="C915" s="341"/>
      <c r="D915" s="331"/>
    </row>
    <row r="916" spans="1:4" x14ac:dyDescent="0.2">
      <c r="A916" s="728">
        <v>43648</v>
      </c>
      <c r="B916" s="331">
        <v>248377.32</v>
      </c>
      <c r="C916" s="341"/>
      <c r="D916" s="331"/>
    </row>
    <row r="917" spans="1:4" x14ac:dyDescent="0.2">
      <c r="A917" s="728">
        <v>43649</v>
      </c>
      <c r="B917" s="331">
        <v>277944.71000000002</v>
      </c>
      <c r="C917" s="341"/>
      <c r="D917" s="331"/>
    </row>
    <row r="918" spans="1:4" x14ac:dyDescent="0.2">
      <c r="A918" s="728">
        <v>43650</v>
      </c>
      <c r="B918" s="331">
        <v>277945</v>
      </c>
      <c r="C918" s="341"/>
      <c r="D918" s="331"/>
    </row>
    <row r="919" spans="1:4" x14ac:dyDescent="0.2">
      <c r="A919" s="728">
        <v>43651</v>
      </c>
      <c r="B919" s="331">
        <v>278046.71000000002</v>
      </c>
      <c r="C919" s="341"/>
      <c r="D919" s="331"/>
    </row>
    <row r="920" spans="1:4" x14ac:dyDescent="0.2">
      <c r="A920" s="728">
        <v>43654</v>
      </c>
      <c r="B920" s="331">
        <v>282590.19</v>
      </c>
      <c r="C920" s="341"/>
      <c r="D920" s="331"/>
    </row>
    <row r="921" spans="1:4" x14ac:dyDescent="0.2">
      <c r="A921" s="728">
        <v>43655</v>
      </c>
      <c r="B921" s="331">
        <v>247195.73</v>
      </c>
      <c r="C921" s="341"/>
      <c r="D921" s="331"/>
    </row>
    <row r="922" spans="1:4" x14ac:dyDescent="0.2">
      <c r="A922" s="728">
        <v>43656</v>
      </c>
      <c r="B922" s="331">
        <v>247195.73</v>
      </c>
      <c r="C922" s="341"/>
      <c r="D922" s="331"/>
    </row>
    <row r="923" spans="1:4" x14ac:dyDescent="0.2">
      <c r="A923" s="728">
        <v>43657</v>
      </c>
      <c r="B923" s="331">
        <v>235813.1</v>
      </c>
      <c r="C923" s="341"/>
      <c r="D923" s="331"/>
    </row>
    <row r="924" spans="1:4" x14ac:dyDescent="0.2">
      <c r="A924" s="728">
        <v>43658</v>
      </c>
      <c r="B924" s="331">
        <v>237210.07</v>
      </c>
      <c r="C924" s="341"/>
      <c r="D924" s="331"/>
    </row>
    <row r="925" spans="1:4" x14ac:dyDescent="0.2">
      <c r="A925" s="728">
        <v>43661</v>
      </c>
      <c r="B925" s="331">
        <v>237490.39</v>
      </c>
      <c r="C925" s="341"/>
      <c r="D925" s="331"/>
    </row>
    <row r="926" spans="1:4" x14ac:dyDescent="0.2">
      <c r="A926" s="728">
        <v>43662</v>
      </c>
      <c r="B926" s="331">
        <v>237490</v>
      </c>
      <c r="C926" s="341"/>
      <c r="D926" s="331"/>
    </row>
    <row r="927" spans="1:4" x14ac:dyDescent="0.2">
      <c r="A927" s="728">
        <v>43663</v>
      </c>
      <c r="B927" s="331">
        <v>237490.39</v>
      </c>
      <c r="C927" s="341"/>
      <c r="D927" s="331"/>
    </row>
    <row r="928" spans="1:4" x14ac:dyDescent="0.2">
      <c r="A928" s="728">
        <v>43664</v>
      </c>
      <c r="B928" s="331">
        <v>232593.57</v>
      </c>
      <c r="C928" s="341"/>
      <c r="D928" s="331"/>
    </row>
    <row r="929" spans="1:4" x14ac:dyDescent="0.2">
      <c r="A929" s="728">
        <v>43665</v>
      </c>
      <c r="B929" s="331">
        <v>232923.06</v>
      </c>
      <c r="C929" s="341"/>
      <c r="D929" s="331"/>
    </row>
    <row r="930" spans="1:4" x14ac:dyDescent="0.2">
      <c r="A930" s="728">
        <v>43668</v>
      </c>
      <c r="B930" s="331">
        <v>196798.51</v>
      </c>
      <c r="C930" s="341"/>
      <c r="D930" s="331"/>
    </row>
    <row r="931" spans="1:4" x14ac:dyDescent="0.2">
      <c r="A931" s="728">
        <v>43669</v>
      </c>
      <c r="B931" s="331">
        <v>199629.38</v>
      </c>
      <c r="C931" s="341"/>
      <c r="D931" s="331"/>
    </row>
    <row r="932" spans="1:4" x14ac:dyDescent="0.2">
      <c r="A932" s="728">
        <v>43670</v>
      </c>
      <c r="B932" s="331">
        <v>199629</v>
      </c>
      <c r="C932" s="341"/>
      <c r="D932" s="331"/>
    </row>
    <row r="933" spans="1:4" x14ac:dyDescent="0.2">
      <c r="A933" s="728">
        <v>43671</v>
      </c>
      <c r="B933" s="331">
        <v>195151.45</v>
      </c>
      <c r="C933" s="341"/>
      <c r="D933" s="331"/>
    </row>
    <row r="934" spans="1:4" x14ac:dyDescent="0.2">
      <c r="A934" s="728">
        <v>43672</v>
      </c>
      <c r="B934" s="331">
        <v>228843.78</v>
      </c>
      <c r="C934" s="341"/>
      <c r="D934" s="331"/>
    </row>
    <row r="935" spans="1:4" x14ac:dyDescent="0.2">
      <c r="A935" s="728">
        <v>43675</v>
      </c>
      <c r="B935" s="331">
        <v>228844</v>
      </c>
      <c r="C935" s="341"/>
      <c r="D935" s="331"/>
    </row>
    <row r="936" spans="1:4" x14ac:dyDescent="0.2">
      <c r="A936" s="728">
        <v>43676</v>
      </c>
      <c r="B936" s="331">
        <v>228844</v>
      </c>
      <c r="C936" s="341"/>
      <c r="D936" s="331"/>
    </row>
    <row r="937" spans="1:4" x14ac:dyDescent="0.2">
      <c r="A937" s="728">
        <v>43677</v>
      </c>
      <c r="B937" s="331">
        <v>229051.78</v>
      </c>
      <c r="C937" s="341"/>
      <c r="D937" s="331"/>
    </row>
    <row r="938" spans="1:4" x14ac:dyDescent="0.2">
      <c r="A938" s="728">
        <v>43678</v>
      </c>
      <c r="B938" s="331">
        <v>234767.17</v>
      </c>
      <c r="C938" s="341"/>
      <c r="D938" s="331"/>
    </row>
    <row r="939" spans="1:4" x14ac:dyDescent="0.2">
      <c r="A939" s="728">
        <v>43679</v>
      </c>
      <c r="B939" s="331">
        <v>236117.76000000001</v>
      </c>
      <c r="C939" s="341"/>
      <c r="D939" s="331"/>
    </row>
    <row r="940" spans="1:4" x14ac:dyDescent="0.2">
      <c r="A940" s="728">
        <v>43682</v>
      </c>
      <c r="B940" s="331">
        <v>236118</v>
      </c>
      <c r="C940" s="341"/>
      <c r="D940" s="331"/>
    </row>
    <row r="941" spans="1:4" x14ac:dyDescent="0.2">
      <c r="A941" s="728">
        <v>43683</v>
      </c>
      <c r="B941" s="331">
        <v>208888.5</v>
      </c>
      <c r="C941" s="341"/>
      <c r="D941" s="331"/>
    </row>
    <row r="942" spans="1:4" x14ac:dyDescent="0.2">
      <c r="A942" s="728">
        <v>43684</v>
      </c>
      <c r="B942" s="331">
        <v>208792.5</v>
      </c>
      <c r="C942" s="341"/>
      <c r="D942" s="331"/>
    </row>
    <row r="943" spans="1:4" x14ac:dyDescent="0.2">
      <c r="A943" s="728">
        <v>43685</v>
      </c>
      <c r="B943" s="331">
        <v>203219.37</v>
      </c>
      <c r="C943" s="341"/>
      <c r="D943" s="331"/>
    </row>
    <row r="944" spans="1:4" x14ac:dyDescent="0.2">
      <c r="A944" s="728">
        <v>43686</v>
      </c>
      <c r="B944" s="331">
        <v>205639.37</v>
      </c>
      <c r="C944" s="341"/>
      <c r="D944" s="331"/>
    </row>
    <row r="945" spans="1:4" x14ac:dyDescent="0.2">
      <c r="A945" s="728">
        <v>43689</v>
      </c>
      <c r="B945" s="331">
        <v>205639.37</v>
      </c>
      <c r="C945" s="341"/>
      <c r="D945" s="331"/>
    </row>
    <row r="946" spans="1:4" x14ac:dyDescent="0.2">
      <c r="A946" s="728">
        <v>43690</v>
      </c>
      <c r="B946" s="331">
        <v>232145.73</v>
      </c>
      <c r="C946" s="341"/>
      <c r="D946" s="331"/>
    </row>
    <row r="947" spans="1:4" x14ac:dyDescent="0.2">
      <c r="A947" s="728">
        <v>43691</v>
      </c>
      <c r="B947" s="331">
        <v>233325.32</v>
      </c>
      <c r="C947" s="341"/>
      <c r="D947" s="331"/>
    </row>
    <row r="948" spans="1:4" x14ac:dyDescent="0.2">
      <c r="A948" s="728">
        <v>43692</v>
      </c>
      <c r="B948" s="331">
        <v>225375.98</v>
      </c>
      <c r="C948" s="341"/>
      <c r="D948" s="331"/>
    </row>
    <row r="949" spans="1:4" x14ac:dyDescent="0.2">
      <c r="A949" s="728">
        <v>43693</v>
      </c>
      <c r="B949" s="331">
        <v>225424.1</v>
      </c>
      <c r="C949" s="341"/>
      <c r="D949" s="331"/>
    </row>
    <row r="950" spans="1:4" x14ac:dyDescent="0.2">
      <c r="A950" s="728">
        <v>43696</v>
      </c>
      <c r="B950" s="331">
        <v>187365.06</v>
      </c>
      <c r="C950" s="341"/>
      <c r="D950" s="331"/>
    </row>
    <row r="951" spans="1:4" x14ac:dyDescent="0.2">
      <c r="A951" s="728">
        <v>43697</v>
      </c>
      <c r="B951" s="331">
        <v>187365</v>
      </c>
      <c r="C951" s="341"/>
      <c r="D951" s="331"/>
    </row>
    <row r="952" spans="1:4" x14ac:dyDescent="0.2">
      <c r="A952" s="728">
        <v>43698</v>
      </c>
      <c r="B952" s="331">
        <v>187365</v>
      </c>
      <c r="C952" s="341"/>
      <c r="D952" s="331"/>
    </row>
    <row r="953" spans="1:4" x14ac:dyDescent="0.2">
      <c r="A953" s="728">
        <v>43699</v>
      </c>
      <c r="B953" s="364">
        <v>172667.6</v>
      </c>
      <c r="C953" s="341"/>
      <c r="D953" s="331"/>
    </row>
    <row r="954" spans="1:4" x14ac:dyDescent="0.2">
      <c r="A954" s="728">
        <v>43700</v>
      </c>
      <c r="B954" s="331">
        <v>172668</v>
      </c>
      <c r="C954" s="341"/>
      <c r="D954" s="331"/>
    </row>
    <row r="955" spans="1:4" x14ac:dyDescent="0.2">
      <c r="A955" s="728">
        <v>43703</v>
      </c>
      <c r="B955" s="331">
        <v>236616.35</v>
      </c>
      <c r="C955" s="341"/>
      <c r="D955" s="331"/>
    </row>
    <row r="956" spans="1:4" x14ac:dyDescent="0.2">
      <c r="A956" s="728">
        <v>43704</v>
      </c>
      <c r="B956" s="331">
        <v>237913.62</v>
      </c>
      <c r="C956" s="341"/>
      <c r="D956" s="331"/>
    </row>
    <row r="957" spans="1:4" x14ac:dyDescent="0.2">
      <c r="A957" s="728">
        <v>43705</v>
      </c>
      <c r="B957" s="331">
        <v>237914</v>
      </c>
      <c r="C957" s="341"/>
      <c r="D957" s="331"/>
    </row>
    <row r="958" spans="1:4" x14ac:dyDescent="0.2">
      <c r="A958" s="728">
        <v>43706</v>
      </c>
      <c r="B958" s="331">
        <v>244708.19</v>
      </c>
      <c r="C958" s="341"/>
      <c r="D958" s="331"/>
    </row>
    <row r="959" spans="1:4" x14ac:dyDescent="0.2">
      <c r="A959" s="728">
        <v>43707</v>
      </c>
      <c r="B959" s="331">
        <v>249899.19</v>
      </c>
      <c r="C959" s="341"/>
      <c r="D959" s="331"/>
    </row>
    <row r="960" spans="1:4" x14ac:dyDescent="0.2">
      <c r="A960" s="728">
        <v>43710</v>
      </c>
      <c r="B960" s="331">
        <v>249899</v>
      </c>
      <c r="C960" s="341"/>
      <c r="D960" s="331"/>
    </row>
    <row r="961" spans="1:4" x14ac:dyDescent="0.2">
      <c r="A961" s="728">
        <v>43711</v>
      </c>
      <c r="B961" s="331">
        <v>215930.73</v>
      </c>
      <c r="C961" s="341"/>
      <c r="D961" s="331"/>
    </row>
    <row r="962" spans="1:4" x14ac:dyDescent="0.2">
      <c r="A962" s="728">
        <v>43712</v>
      </c>
      <c r="B962" s="331">
        <v>215931</v>
      </c>
      <c r="C962" s="341"/>
      <c r="D962" s="331"/>
    </row>
    <row r="963" spans="1:4" x14ac:dyDescent="0.2">
      <c r="A963" s="728">
        <v>43713</v>
      </c>
      <c r="B963" s="331">
        <v>205664.34</v>
      </c>
      <c r="C963" s="341"/>
      <c r="D963" s="331"/>
    </row>
    <row r="964" spans="1:4" x14ac:dyDescent="0.2">
      <c r="A964" s="728">
        <v>43714</v>
      </c>
      <c r="B964" s="331">
        <v>205830.34</v>
      </c>
      <c r="C964" s="341"/>
      <c r="D964" s="331"/>
    </row>
    <row r="965" spans="1:4" x14ac:dyDescent="0.2">
      <c r="A965" s="728">
        <v>43717</v>
      </c>
      <c r="B965" s="331">
        <v>205830</v>
      </c>
      <c r="C965" s="341"/>
      <c r="D965" s="331"/>
    </row>
    <row r="966" spans="1:4" x14ac:dyDescent="0.2">
      <c r="A966" s="728">
        <v>43718</v>
      </c>
      <c r="B966" s="331">
        <v>205830</v>
      </c>
      <c r="C966" s="341"/>
      <c r="D966" s="331"/>
    </row>
    <row r="967" spans="1:4" x14ac:dyDescent="0.2">
      <c r="A967" s="728">
        <v>43719</v>
      </c>
      <c r="B967" s="331">
        <v>205830</v>
      </c>
      <c r="C967" s="341"/>
      <c r="D967" s="331"/>
    </row>
    <row r="968" spans="1:4" x14ac:dyDescent="0.2">
      <c r="A968" s="728">
        <v>43720</v>
      </c>
      <c r="B968" s="331">
        <v>207654.61</v>
      </c>
      <c r="C968" s="341"/>
      <c r="D968" s="331"/>
    </row>
    <row r="969" spans="1:4" x14ac:dyDescent="0.2">
      <c r="A969" s="728">
        <v>43721</v>
      </c>
      <c r="B969" s="331">
        <v>207743.24</v>
      </c>
      <c r="C969" s="341"/>
      <c r="D969" s="331"/>
    </row>
    <row r="970" spans="1:4" x14ac:dyDescent="0.2">
      <c r="A970" s="728">
        <v>43724</v>
      </c>
      <c r="B970" s="331">
        <v>207845.42</v>
      </c>
      <c r="C970" s="341"/>
      <c r="D970" s="331"/>
    </row>
    <row r="971" spans="1:4" x14ac:dyDescent="0.2">
      <c r="A971" s="728">
        <v>43725</v>
      </c>
      <c r="B971" s="331">
        <v>173840.8</v>
      </c>
      <c r="C971" s="341"/>
      <c r="D971" s="331"/>
    </row>
    <row r="972" spans="1:4" x14ac:dyDescent="0.2">
      <c r="A972" s="728">
        <v>43726</v>
      </c>
      <c r="B972" s="331">
        <v>212383.95</v>
      </c>
      <c r="C972" s="341"/>
      <c r="D972" s="331"/>
    </row>
    <row r="973" spans="1:4" x14ac:dyDescent="0.2">
      <c r="A973" s="728">
        <v>43727</v>
      </c>
      <c r="B973" s="331">
        <v>205191.98</v>
      </c>
      <c r="C973" s="341"/>
      <c r="D973" s="331"/>
    </row>
    <row r="974" spans="1:4" x14ac:dyDescent="0.2">
      <c r="A974" s="728">
        <v>43728</v>
      </c>
      <c r="B974" s="331">
        <v>205884.98</v>
      </c>
      <c r="C974" s="341"/>
      <c r="D974" s="331"/>
    </row>
    <row r="975" spans="1:4" x14ac:dyDescent="0.2">
      <c r="A975" s="728">
        <v>43731</v>
      </c>
      <c r="B975" s="331">
        <v>205884.98</v>
      </c>
      <c r="C975" s="341"/>
      <c r="D975" s="331"/>
    </row>
    <row r="976" spans="1:4" x14ac:dyDescent="0.2">
      <c r="A976" s="728">
        <v>43732</v>
      </c>
      <c r="B976" s="331">
        <v>205884.98</v>
      </c>
      <c r="C976" s="341"/>
      <c r="D976" s="331"/>
    </row>
    <row r="977" spans="1:4" x14ac:dyDescent="0.2">
      <c r="A977" s="728">
        <v>43733</v>
      </c>
      <c r="B977" s="331">
        <v>231641.34</v>
      </c>
      <c r="C977" s="341"/>
      <c r="D977" s="331"/>
    </row>
    <row r="978" spans="1:4" x14ac:dyDescent="0.2">
      <c r="A978" s="728">
        <v>43734</v>
      </c>
      <c r="B978" s="331">
        <v>236338.62</v>
      </c>
      <c r="C978" s="341"/>
      <c r="D978" s="331"/>
    </row>
    <row r="979" spans="1:4" x14ac:dyDescent="0.2">
      <c r="A979" s="728">
        <v>43735</v>
      </c>
      <c r="B979" s="331">
        <v>269514.5</v>
      </c>
      <c r="C979" s="341"/>
      <c r="D979" s="331"/>
    </row>
    <row r="980" spans="1:4" x14ac:dyDescent="0.2">
      <c r="A980" s="728">
        <v>43738</v>
      </c>
      <c r="B980" s="331">
        <v>287654.26</v>
      </c>
      <c r="C980" s="341"/>
      <c r="D980" s="331"/>
    </row>
    <row r="981" spans="1:4" x14ac:dyDescent="0.2">
      <c r="A981" s="728">
        <v>43739</v>
      </c>
      <c r="B981" s="331">
        <v>254047.41</v>
      </c>
      <c r="C981" s="341"/>
      <c r="D981" s="331"/>
    </row>
    <row r="982" spans="1:4" x14ac:dyDescent="0.2">
      <c r="A982" s="728">
        <v>43740</v>
      </c>
      <c r="B982" s="331">
        <v>254047</v>
      </c>
      <c r="C982" s="341"/>
      <c r="D982" s="331"/>
    </row>
    <row r="983" spans="1:4" x14ac:dyDescent="0.2">
      <c r="A983" s="728">
        <v>43741</v>
      </c>
      <c r="B983" s="331">
        <v>244596.04</v>
      </c>
      <c r="C983" s="341"/>
      <c r="D983" s="331"/>
    </row>
    <row r="984" spans="1:4" x14ac:dyDescent="0.2">
      <c r="A984" s="728">
        <v>43742</v>
      </c>
      <c r="B984" s="331">
        <v>244881.04</v>
      </c>
      <c r="C984" s="341"/>
      <c r="D984" s="331"/>
    </row>
    <row r="985" spans="1:4" x14ac:dyDescent="0.2">
      <c r="A985" s="728">
        <v>43745</v>
      </c>
      <c r="B985" s="331">
        <v>244881</v>
      </c>
      <c r="C985" s="341"/>
      <c r="D985" s="331"/>
    </row>
    <row r="986" spans="1:4" x14ac:dyDescent="0.2">
      <c r="A986" s="728">
        <v>43746</v>
      </c>
      <c r="B986" s="331">
        <v>244881</v>
      </c>
      <c r="C986" s="341"/>
      <c r="D986" s="331"/>
    </row>
    <row r="987" spans="1:4" x14ac:dyDescent="0.2">
      <c r="A987" s="728">
        <v>43747</v>
      </c>
      <c r="B987" s="331">
        <v>244881</v>
      </c>
      <c r="C987" s="341"/>
      <c r="D987" s="331"/>
    </row>
    <row r="988" spans="1:4" x14ac:dyDescent="0.2">
      <c r="A988" s="728">
        <v>43748</v>
      </c>
      <c r="B988" s="331">
        <v>247845.59</v>
      </c>
      <c r="C988" s="341"/>
      <c r="D988" s="331"/>
    </row>
    <row r="989" spans="1:4" x14ac:dyDescent="0.2">
      <c r="A989" s="728">
        <v>43749</v>
      </c>
      <c r="B989" s="331">
        <v>247846</v>
      </c>
      <c r="C989" s="341"/>
      <c r="D989" s="331"/>
    </row>
    <row r="990" spans="1:4" x14ac:dyDescent="0.2">
      <c r="A990" s="728">
        <v>43752</v>
      </c>
      <c r="B990" s="331">
        <v>247846</v>
      </c>
      <c r="C990" s="341"/>
      <c r="D990" s="331"/>
    </row>
    <row r="991" spans="1:4" x14ac:dyDescent="0.2">
      <c r="A991" s="728">
        <v>43753</v>
      </c>
      <c r="B991" s="331">
        <v>183161.53</v>
      </c>
      <c r="C991" s="341"/>
      <c r="D991" s="331"/>
    </row>
    <row r="992" spans="1:4" x14ac:dyDescent="0.2">
      <c r="A992" s="728">
        <v>43754</v>
      </c>
      <c r="B992" s="331">
        <v>185786.19</v>
      </c>
      <c r="C992" s="341"/>
      <c r="D992" s="331"/>
    </row>
    <row r="993" spans="1:4" x14ac:dyDescent="0.2">
      <c r="A993" s="728">
        <v>43755</v>
      </c>
      <c r="B993" s="331">
        <v>160581.73000000001</v>
      </c>
      <c r="C993" s="341"/>
      <c r="D993" s="331"/>
    </row>
    <row r="994" spans="1:4" x14ac:dyDescent="0.2">
      <c r="A994" s="728">
        <v>43756</v>
      </c>
      <c r="B994" s="331">
        <v>160581.73000000001</v>
      </c>
      <c r="C994" s="341"/>
      <c r="D994" s="331"/>
    </row>
    <row r="995" spans="1:4" x14ac:dyDescent="0.2">
      <c r="A995" s="728">
        <v>43759</v>
      </c>
      <c r="B995" s="331">
        <v>160581.73000000001</v>
      </c>
      <c r="C995" s="341"/>
      <c r="D995" s="331"/>
    </row>
    <row r="996" spans="1:4" x14ac:dyDescent="0.2">
      <c r="A996" s="728">
        <v>43760</v>
      </c>
      <c r="B996" s="331">
        <v>160581.73000000001</v>
      </c>
      <c r="C996" s="341"/>
      <c r="D996" s="331"/>
    </row>
    <row r="997" spans="1:4" x14ac:dyDescent="0.2">
      <c r="A997" s="728">
        <v>43761</v>
      </c>
      <c r="B997" s="331">
        <v>171996.42</v>
      </c>
      <c r="C997" s="341"/>
      <c r="D997" s="331"/>
    </row>
    <row r="998" spans="1:4" x14ac:dyDescent="0.2">
      <c r="A998" s="728">
        <v>43762</v>
      </c>
      <c r="B998" s="331">
        <v>167352.24</v>
      </c>
      <c r="C998" s="341"/>
      <c r="D998" s="331"/>
    </row>
    <row r="999" spans="1:4" x14ac:dyDescent="0.2">
      <c r="A999" s="728">
        <v>43763</v>
      </c>
      <c r="B999" s="331">
        <v>166766.24</v>
      </c>
      <c r="C999" s="341"/>
      <c r="D999" s="331"/>
    </row>
    <row r="1000" spans="1:4" x14ac:dyDescent="0.2">
      <c r="A1000" s="728">
        <v>43766</v>
      </c>
      <c r="B1000" s="364">
        <v>129051.26</v>
      </c>
      <c r="C1000" s="341"/>
      <c r="D1000" s="331"/>
    </row>
    <row r="1001" spans="1:4" x14ac:dyDescent="0.2">
      <c r="A1001" s="728">
        <v>43767</v>
      </c>
      <c r="B1001" s="331">
        <v>132306.64000000001</v>
      </c>
      <c r="C1001" s="341"/>
      <c r="D1001" s="331"/>
    </row>
    <row r="1002" spans="1:4" x14ac:dyDescent="0.2">
      <c r="A1002" s="728">
        <v>43768</v>
      </c>
      <c r="B1002" s="331">
        <v>181475.08</v>
      </c>
      <c r="C1002" s="341"/>
      <c r="D1002" s="331"/>
    </row>
    <row r="1003" spans="1:4" x14ac:dyDescent="0.2">
      <c r="A1003" s="728">
        <v>43769</v>
      </c>
      <c r="B1003" s="331">
        <v>169335.94</v>
      </c>
      <c r="C1003" s="341"/>
      <c r="D1003" s="331"/>
    </row>
    <row r="1004" spans="1:4" x14ac:dyDescent="0.2">
      <c r="A1004" s="728">
        <v>43770</v>
      </c>
      <c r="B1004" s="331">
        <v>171521.13</v>
      </c>
      <c r="C1004" s="341"/>
      <c r="D1004" s="331"/>
    </row>
    <row r="1005" spans="1:4" x14ac:dyDescent="0.2">
      <c r="A1005" s="728">
        <v>43773</v>
      </c>
      <c r="B1005" s="331">
        <v>171521</v>
      </c>
      <c r="C1005" s="341"/>
      <c r="D1005" s="331"/>
    </row>
    <row r="1006" spans="1:4" x14ac:dyDescent="0.2">
      <c r="A1006" s="728">
        <v>43774</v>
      </c>
      <c r="B1006" s="331">
        <v>171521</v>
      </c>
      <c r="C1006" s="341"/>
      <c r="D1006" s="331"/>
    </row>
    <row r="1007" spans="1:4" x14ac:dyDescent="0.2">
      <c r="A1007" s="728">
        <v>43775</v>
      </c>
      <c r="B1007" s="331">
        <v>201934.13</v>
      </c>
      <c r="C1007" s="341"/>
      <c r="D1007" s="331"/>
    </row>
    <row r="1008" spans="1:4" x14ac:dyDescent="0.2">
      <c r="A1008" s="728">
        <v>43776</v>
      </c>
      <c r="B1008" s="331">
        <v>198457.3</v>
      </c>
      <c r="C1008" s="341"/>
      <c r="D1008" s="331"/>
    </row>
    <row r="1009" spans="1:4" x14ac:dyDescent="0.2">
      <c r="A1009" s="728">
        <v>43777</v>
      </c>
      <c r="B1009" s="331">
        <v>198457</v>
      </c>
      <c r="C1009" s="341"/>
      <c r="D1009" s="331"/>
    </row>
    <row r="1010" spans="1:4" x14ac:dyDescent="0.2">
      <c r="A1010" s="728">
        <v>43780</v>
      </c>
      <c r="B1010" s="331">
        <v>164046.53</v>
      </c>
      <c r="C1010" s="341"/>
      <c r="D1010" s="331"/>
    </row>
    <row r="1011" spans="1:4" x14ac:dyDescent="0.2">
      <c r="A1011" s="728">
        <v>43781</v>
      </c>
      <c r="B1011" s="331">
        <v>164047</v>
      </c>
      <c r="C1011" s="341"/>
      <c r="D1011" s="331"/>
    </row>
    <row r="1012" spans="1:4" x14ac:dyDescent="0.2">
      <c r="A1012" s="728">
        <v>43782</v>
      </c>
      <c r="B1012" s="331">
        <v>198779.19</v>
      </c>
      <c r="C1012" s="341"/>
      <c r="D1012" s="331"/>
    </row>
    <row r="1013" spans="1:4" x14ac:dyDescent="0.2">
      <c r="A1013" s="728">
        <v>43783</v>
      </c>
      <c r="B1013" s="331">
        <v>188221.13</v>
      </c>
      <c r="C1013" s="341"/>
      <c r="D1013" s="331"/>
    </row>
    <row r="1014" spans="1:4" x14ac:dyDescent="0.2">
      <c r="A1014" s="728">
        <v>43784</v>
      </c>
      <c r="B1014" s="331">
        <v>190279.89</v>
      </c>
      <c r="C1014" s="341"/>
      <c r="D1014" s="331"/>
    </row>
    <row r="1015" spans="1:4" x14ac:dyDescent="0.2">
      <c r="A1015" s="728">
        <v>43787</v>
      </c>
      <c r="B1015" s="331">
        <v>190179.89</v>
      </c>
      <c r="C1015" s="341"/>
      <c r="D1015" s="331"/>
    </row>
    <row r="1016" spans="1:4" x14ac:dyDescent="0.2">
      <c r="A1016" s="728">
        <v>43788</v>
      </c>
      <c r="B1016" s="331">
        <v>190180</v>
      </c>
      <c r="C1016" s="341"/>
      <c r="D1016" s="331"/>
    </row>
    <row r="1017" spans="1:4" x14ac:dyDescent="0.2">
      <c r="A1017" s="728">
        <v>43789</v>
      </c>
      <c r="B1017" s="331">
        <v>190180</v>
      </c>
      <c r="C1017" s="341"/>
      <c r="D1017" s="331"/>
    </row>
    <row r="1018" spans="1:4" x14ac:dyDescent="0.2">
      <c r="A1018" s="728">
        <v>43790</v>
      </c>
      <c r="B1018" s="331">
        <v>188919.3</v>
      </c>
      <c r="C1018" s="341"/>
      <c r="D1018" s="331"/>
    </row>
    <row r="1019" spans="1:4" x14ac:dyDescent="0.2">
      <c r="A1019" s="728">
        <v>43791</v>
      </c>
      <c r="B1019" s="331">
        <v>188919</v>
      </c>
      <c r="C1019" s="341"/>
      <c r="D1019" s="331"/>
    </row>
    <row r="1020" spans="1:4" x14ac:dyDescent="0.2">
      <c r="A1020" s="728">
        <v>43794</v>
      </c>
      <c r="B1020" s="331">
        <v>153349.64000000001</v>
      </c>
      <c r="C1020" s="341"/>
      <c r="D1020" s="331"/>
    </row>
    <row r="1021" spans="1:4" x14ac:dyDescent="0.2">
      <c r="A1021" s="728">
        <v>43795</v>
      </c>
      <c r="B1021" s="331">
        <v>153226.64000000001</v>
      </c>
      <c r="C1021" s="341"/>
      <c r="D1021" s="331"/>
    </row>
    <row r="1022" spans="1:4" x14ac:dyDescent="0.2">
      <c r="A1022" s="728">
        <v>43796</v>
      </c>
      <c r="B1022" s="331">
        <v>154369.64000000001</v>
      </c>
      <c r="C1022" s="341"/>
      <c r="D1022" s="331"/>
    </row>
    <row r="1023" spans="1:4" x14ac:dyDescent="0.2">
      <c r="A1023" s="728">
        <v>43797</v>
      </c>
      <c r="B1023" s="331">
        <v>154370</v>
      </c>
      <c r="C1023" s="341"/>
      <c r="D1023" s="331"/>
    </row>
    <row r="1024" spans="1:4" x14ac:dyDescent="0.2">
      <c r="A1024" s="728">
        <v>43798</v>
      </c>
      <c r="B1024" s="331">
        <v>237011.17</v>
      </c>
      <c r="C1024" s="341"/>
      <c r="D1024" s="331"/>
    </row>
    <row r="1025" spans="1:4" x14ac:dyDescent="0.2">
      <c r="A1025" s="728">
        <v>43801</v>
      </c>
      <c r="B1025" s="331">
        <v>237011</v>
      </c>
      <c r="C1025" s="341"/>
      <c r="D1025" s="331"/>
    </row>
    <row r="1026" spans="1:4" x14ac:dyDescent="0.2">
      <c r="A1026" s="728">
        <v>43802</v>
      </c>
      <c r="B1026" s="331">
        <v>237011</v>
      </c>
      <c r="C1026" s="341"/>
      <c r="D1026" s="331"/>
    </row>
    <row r="1027" spans="1:4" x14ac:dyDescent="0.2">
      <c r="A1027" s="728">
        <v>43803</v>
      </c>
      <c r="B1027" s="331">
        <v>237011</v>
      </c>
      <c r="C1027" s="341"/>
      <c r="D1027" s="331"/>
    </row>
    <row r="1028" spans="1:4" x14ac:dyDescent="0.2">
      <c r="A1028" s="728">
        <v>43804</v>
      </c>
      <c r="B1028" s="331">
        <v>229967.75</v>
      </c>
      <c r="C1028" s="341"/>
      <c r="D1028" s="331"/>
    </row>
    <row r="1029" spans="1:4" x14ac:dyDescent="0.2">
      <c r="A1029" s="728">
        <v>43805</v>
      </c>
      <c r="B1029" s="331">
        <v>229968</v>
      </c>
      <c r="C1029" s="341"/>
      <c r="D1029" s="331"/>
    </row>
    <row r="1030" spans="1:4" x14ac:dyDescent="0.2">
      <c r="A1030" s="728">
        <v>43808</v>
      </c>
      <c r="B1030" s="331">
        <v>193352.99</v>
      </c>
      <c r="C1030" s="341"/>
      <c r="D1030" s="331"/>
    </row>
    <row r="1031" spans="1:4" x14ac:dyDescent="0.2">
      <c r="A1031" s="728">
        <v>43809</v>
      </c>
      <c r="B1031" s="331">
        <v>193629.99</v>
      </c>
      <c r="C1031" s="341"/>
      <c r="D1031" s="331"/>
    </row>
    <row r="1032" spans="1:4" x14ac:dyDescent="0.2">
      <c r="A1032" s="728">
        <v>43810</v>
      </c>
      <c r="B1032" s="331">
        <v>193630</v>
      </c>
      <c r="C1032" s="341"/>
      <c r="D1032" s="331"/>
    </row>
    <row r="1033" spans="1:4" x14ac:dyDescent="0.2">
      <c r="A1033" s="728">
        <v>43811</v>
      </c>
      <c r="B1033" s="331">
        <v>193945</v>
      </c>
      <c r="C1033" s="341"/>
      <c r="D1033" s="331"/>
    </row>
    <row r="1034" spans="1:4" x14ac:dyDescent="0.2">
      <c r="A1034" s="728">
        <v>43812</v>
      </c>
      <c r="B1034" s="331">
        <v>196370.92</v>
      </c>
      <c r="C1034" s="341"/>
      <c r="D1034" s="331"/>
    </row>
    <row r="1035" spans="1:4" x14ac:dyDescent="0.2">
      <c r="A1035" s="728">
        <v>43815</v>
      </c>
      <c r="B1035" s="331">
        <v>196370.92</v>
      </c>
      <c r="C1035" s="341"/>
      <c r="D1035" s="331"/>
    </row>
    <row r="1036" spans="1:4" x14ac:dyDescent="0.2">
      <c r="A1036" s="728">
        <v>43816</v>
      </c>
      <c r="B1036" s="331">
        <v>196370.92</v>
      </c>
      <c r="C1036" s="341"/>
      <c r="D1036" s="331"/>
    </row>
    <row r="1037" spans="1:4" x14ac:dyDescent="0.2">
      <c r="A1037" s="728">
        <v>43817</v>
      </c>
      <c r="B1037" s="331">
        <v>196370.92</v>
      </c>
      <c r="C1037" s="341"/>
      <c r="D1037" s="331"/>
    </row>
    <row r="1038" spans="1:4" x14ac:dyDescent="0.2">
      <c r="A1038" s="728">
        <v>43818</v>
      </c>
      <c r="B1038" s="331">
        <v>194997.56</v>
      </c>
      <c r="C1038" s="341"/>
      <c r="D1038" s="331"/>
    </row>
    <row r="1039" spans="1:4" x14ac:dyDescent="0.2">
      <c r="A1039" s="728">
        <v>43819</v>
      </c>
      <c r="B1039" s="331">
        <v>194998</v>
      </c>
      <c r="C1039" s="341"/>
      <c r="D1039" s="331"/>
    </row>
    <row r="1040" spans="1:4" x14ac:dyDescent="0.2">
      <c r="A1040" s="728">
        <v>43822</v>
      </c>
      <c r="B1040" s="331">
        <v>158280.26999999999</v>
      </c>
      <c r="C1040" s="341"/>
      <c r="D1040" s="331"/>
    </row>
    <row r="1041" spans="1:4" x14ac:dyDescent="0.2">
      <c r="A1041" s="728">
        <v>43823</v>
      </c>
      <c r="B1041" s="331">
        <v>163840.26999999999</v>
      </c>
      <c r="C1041" s="341"/>
      <c r="D1041" s="331"/>
    </row>
    <row r="1042" spans="1:4" x14ac:dyDescent="0.2">
      <c r="A1042" s="728">
        <v>43824</v>
      </c>
      <c r="B1042" s="331">
        <v>163840</v>
      </c>
      <c r="C1042" s="341"/>
      <c r="D1042" s="331"/>
    </row>
    <row r="1043" spans="1:4" x14ac:dyDescent="0.2">
      <c r="A1043" s="728">
        <v>43825</v>
      </c>
      <c r="B1043" s="331">
        <v>213174.46</v>
      </c>
      <c r="C1043" s="341"/>
      <c r="D1043" s="331"/>
    </row>
    <row r="1044" spans="1:4" x14ac:dyDescent="0.2">
      <c r="A1044" s="728">
        <v>43826</v>
      </c>
      <c r="B1044" s="331">
        <v>212851.46</v>
      </c>
      <c r="C1044" s="341"/>
      <c r="D1044" s="331"/>
    </row>
    <row r="1045" spans="1:4" x14ac:dyDescent="0.2">
      <c r="A1045" s="728">
        <v>43829</v>
      </c>
      <c r="B1045" s="331">
        <v>212221.74</v>
      </c>
      <c r="C1045" s="341"/>
      <c r="D1045" s="331"/>
    </row>
    <row r="1046" spans="1:4" x14ac:dyDescent="0.2">
      <c r="A1046" s="728">
        <v>43830</v>
      </c>
      <c r="B1046" s="331">
        <v>189055.83</v>
      </c>
      <c r="C1046" s="341"/>
      <c r="D1046" s="331"/>
    </row>
    <row r="1047" spans="1:4" x14ac:dyDescent="0.2">
      <c r="A1047" s="728">
        <v>43831</v>
      </c>
      <c r="B1047" s="331">
        <v>189056</v>
      </c>
      <c r="C1047" s="341"/>
      <c r="D1047" s="331"/>
    </row>
    <row r="1048" spans="1:4" x14ac:dyDescent="0.2">
      <c r="A1048" s="728">
        <v>43832</v>
      </c>
      <c r="B1048" s="331">
        <v>206403.28</v>
      </c>
      <c r="C1048" s="341"/>
      <c r="D1048" s="331"/>
    </row>
    <row r="1049" spans="1:4" x14ac:dyDescent="0.2">
      <c r="A1049" s="728">
        <v>43833</v>
      </c>
      <c r="B1049" s="331">
        <v>206217.28</v>
      </c>
      <c r="C1049" s="341"/>
      <c r="D1049" s="331"/>
    </row>
    <row r="1050" spans="1:4" x14ac:dyDescent="0.2">
      <c r="A1050" s="728">
        <v>43836</v>
      </c>
      <c r="B1050" s="331">
        <v>206129.28</v>
      </c>
      <c r="C1050" s="341"/>
      <c r="D1050" s="331"/>
    </row>
    <row r="1051" spans="1:4" x14ac:dyDescent="0.2">
      <c r="A1051" s="728">
        <v>43837</v>
      </c>
      <c r="B1051" s="331">
        <v>172858.39</v>
      </c>
      <c r="C1051" s="341"/>
      <c r="D1051" s="331"/>
    </row>
    <row r="1052" spans="1:4" x14ac:dyDescent="0.2">
      <c r="A1052" s="728">
        <v>43838</v>
      </c>
      <c r="B1052" s="331">
        <v>172585</v>
      </c>
      <c r="C1052" s="341"/>
      <c r="D1052" s="331"/>
    </row>
    <row r="1053" spans="1:4" x14ac:dyDescent="0.2">
      <c r="A1053" s="728">
        <v>43839</v>
      </c>
      <c r="B1053" s="331">
        <v>184752.38</v>
      </c>
      <c r="C1053" s="341"/>
      <c r="D1053" s="331"/>
    </row>
    <row r="1054" spans="1:4" x14ac:dyDescent="0.2">
      <c r="A1054" s="728">
        <v>43840</v>
      </c>
      <c r="B1054" s="331">
        <v>199849.93</v>
      </c>
      <c r="C1054" s="341"/>
      <c r="D1054" s="331"/>
    </row>
    <row r="1055" spans="1:4" x14ac:dyDescent="0.2">
      <c r="A1055" s="728">
        <v>43843</v>
      </c>
      <c r="B1055" s="331">
        <v>199850</v>
      </c>
      <c r="C1055" s="341"/>
      <c r="D1055" s="331"/>
    </row>
    <row r="1056" spans="1:4" x14ac:dyDescent="0.2">
      <c r="A1056" s="728">
        <v>43844</v>
      </c>
      <c r="B1056" s="331">
        <v>199850</v>
      </c>
      <c r="C1056" s="341"/>
      <c r="D1056" s="331"/>
    </row>
    <row r="1057" spans="1:4" x14ac:dyDescent="0.2">
      <c r="A1057" s="728">
        <v>43845</v>
      </c>
      <c r="B1057" s="331">
        <v>199942.09</v>
      </c>
      <c r="C1057" s="341"/>
      <c r="D1057" s="331"/>
    </row>
    <row r="1058" spans="1:4" x14ac:dyDescent="0.2">
      <c r="A1058" s="728">
        <v>43846</v>
      </c>
      <c r="B1058" s="331">
        <v>197586.14</v>
      </c>
      <c r="C1058" s="341"/>
      <c r="D1058" s="331"/>
    </row>
    <row r="1059" spans="1:4" x14ac:dyDescent="0.2">
      <c r="A1059" s="728">
        <v>43847</v>
      </c>
      <c r="B1059" s="331">
        <v>197586</v>
      </c>
      <c r="C1059" s="341"/>
      <c r="D1059" s="331"/>
    </row>
    <row r="1060" spans="1:4" x14ac:dyDescent="0.2">
      <c r="A1060" s="728">
        <v>43850</v>
      </c>
      <c r="B1060" s="331">
        <v>197586</v>
      </c>
      <c r="C1060" s="341"/>
      <c r="D1060" s="331"/>
    </row>
    <row r="1061" spans="1:4" x14ac:dyDescent="0.2">
      <c r="A1061" s="728">
        <v>43851</v>
      </c>
      <c r="B1061" s="331">
        <v>160213.23000000001</v>
      </c>
      <c r="C1061" s="341"/>
      <c r="D1061" s="331"/>
    </row>
    <row r="1062" spans="1:4" x14ac:dyDescent="0.2">
      <c r="A1062" s="728">
        <v>43852</v>
      </c>
      <c r="B1062" s="331">
        <v>160213</v>
      </c>
      <c r="C1062" s="341"/>
      <c r="D1062" s="331"/>
    </row>
    <row r="1063" spans="1:4" x14ac:dyDescent="0.2">
      <c r="A1063" s="728">
        <v>43853</v>
      </c>
      <c r="B1063" s="331">
        <v>178835.97</v>
      </c>
      <c r="C1063" s="341"/>
      <c r="D1063" s="331"/>
    </row>
    <row r="1064" spans="1:4" x14ac:dyDescent="0.2">
      <c r="A1064" s="728">
        <v>43854</v>
      </c>
      <c r="B1064" s="331">
        <v>177774.06</v>
      </c>
      <c r="C1064" s="341"/>
      <c r="D1064" s="331"/>
    </row>
    <row r="1065" spans="1:4" x14ac:dyDescent="0.2">
      <c r="A1065" s="728">
        <v>43857</v>
      </c>
      <c r="B1065" s="331">
        <v>177774</v>
      </c>
      <c r="C1065" s="341"/>
      <c r="D1065" s="331"/>
    </row>
    <row r="1066" spans="1:4" x14ac:dyDescent="0.2">
      <c r="A1066" s="728">
        <v>43858</v>
      </c>
      <c r="B1066" s="331">
        <v>177774</v>
      </c>
      <c r="C1066" s="341"/>
      <c r="D1066" s="331"/>
    </row>
    <row r="1067" spans="1:4" x14ac:dyDescent="0.2">
      <c r="A1067" s="728">
        <v>43859</v>
      </c>
      <c r="B1067" s="331">
        <v>253459.84</v>
      </c>
      <c r="C1067" s="341"/>
      <c r="D1067" s="331"/>
    </row>
    <row r="1068" spans="1:4" x14ac:dyDescent="0.2">
      <c r="A1068" s="728">
        <v>43860</v>
      </c>
      <c r="B1068" s="331">
        <v>235320.22</v>
      </c>
      <c r="C1068" s="341"/>
      <c r="D1068" s="331"/>
    </row>
    <row r="1069" spans="1:4" x14ac:dyDescent="0.2">
      <c r="A1069" s="728">
        <v>43861</v>
      </c>
      <c r="B1069" s="331">
        <v>235320</v>
      </c>
      <c r="C1069" s="341"/>
      <c r="D1069" s="331"/>
    </row>
    <row r="1070" spans="1:4" x14ac:dyDescent="0.2">
      <c r="A1070" s="728">
        <v>43864</v>
      </c>
      <c r="B1070" s="331">
        <v>198483.96</v>
      </c>
      <c r="C1070" s="341"/>
      <c r="D1070" s="331"/>
    </row>
    <row r="1071" spans="1:4" x14ac:dyDescent="0.2">
      <c r="A1071" s="728">
        <v>43865</v>
      </c>
      <c r="B1071" s="331">
        <v>212819.68</v>
      </c>
      <c r="C1071" s="341"/>
      <c r="D1071" s="331"/>
    </row>
    <row r="1072" spans="1:4" x14ac:dyDescent="0.2">
      <c r="A1072" s="728">
        <v>43866</v>
      </c>
      <c r="B1072" s="331">
        <v>212820</v>
      </c>
      <c r="C1072" s="341"/>
      <c r="D1072" s="331"/>
    </row>
    <row r="1073" spans="1:4" x14ac:dyDescent="0.2">
      <c r="A1073" s="728">
        <v>43867</v>
      </c>
      <c r="B1073" s="331">
        <v>212584.24</v>
      </c>
      <c r="C1073" s="341"/>
      <c r="D1073" s="331"/>
    </row>
    <row r="1074" spans="1:4" x14ac:dyDescent="0.2">
      <c r="A1074" s="728">
        <v>43868</v>
      </c>
      <c r="B1074" s="331">
        <v>270092.23</v>
      </c>
      <c r="C1074" s="341"/>
      <c r="D1074" s="331"/>
    </row>
    <row r="1075" spans="1:4" x14ac:dyDescent="0.2">
      <c r="A1075" s="728">
        <v>43871</v>
      </c>
      <c r="B1075" s="331">
        <v>270092</v>
      </c>
      <c r="C1075" s="341"/>
      <c r="D1075" s="331"/>
    </row>
    <row r="1076" spans="1:4" x14ac:dyDescent="0.2">
      <c r="A1076" s="728">
        <v>43872</v>
      </c>
      <c r="B1076" s="331">
        <v>273133.13</v>
      </c>
      <c r="C1076" s="341"/>
      <c r="D1076" s="331"/>
    </row>
    <row r="1077" spans="1:4" x14ac:dyDescent="0.2">
      <c r="A1077" s="728">
        <v>43873</v>
      </c>
      <c r="B1077" s="331">
        <v>273133</v>
      </c>
      <c r="C1077" s="341"/>
      <c r="D1077" s="331"/>
    </row>
    <row r="1078" spans="1:4" x14ac:dyDescent="0.2">
      <c r="A1078" s="728">
        <v>43874</v>
      </c>
      <c r="B1078" s="331">
        <v>280484.09000000003</v>
      </c>
      <c r="C1078" s="341"/>
      <c r="D1078" s="331"/>
    </row>
    <row r="1079" spans="1:4" x14ac:dyDescent="0.2">
      <c r="A1079" s="728">
        <v>43875</v>
      </c>
      <c r="B1079" s="331">
        <v>279225.67</v>
      </c>
      <c r="C1079" s="341"/>
      <c r="D1079" s="331"/>
    </row>
    <row r="1080" spans="1:4" x14ac:dyDescent="0.2">
      <c r="A1080" s="728">
        <v>43878</v>
      </c>
      <c r="B1080" s="331">
        <v>279226</v>
      </c>
      <c r="C1080" s="341"/>
      <c r="D1080" s="331"/>
    </row>
    <row r="1081" spans="1:4" x14ac:dyDescent="0.2">
      <c r="A1081" s="728">
        <v>43879</v>
      </c>
      <c r="B1081" s="331">
        <v>241740.68</v>
      </c>
      <c r="C1081" s="341"/>
      <c r="D1081" s="331"/>
    </row>
    <row r="1082" spans="1:4" x14ac:dyDescent="0.2">
      <c r="A1082" s="728">
        <v>43880</v>
      </c>
      <c r="B1082" s="331">
        <v>268478</v>
      </c>
      <c r="C1082" s="341"/>
      <c r="D1082" s="331"/>
    </row>
    <row r="1083" spans="1:4" x14ac:dyDescent="0.2">
      <c r="A1083" s="728">
        <v>43881</v>
      </c>
      <c r="B1083" s="331">
        <v>258524.93</v>
      </c>
      <c r="C1083" s="341"/>
      <c r="D1083" s="331"/>
    </row>
    <row r="1084" spans="1:4" x14ac:dyDescent="0.2">
      <c r="A1084" s="728">
        <v>43882</v>
      </c>
      <c r="B1084" s="331">
        <v>277316.53000000003</v>
      </c>
      <c r="C1084" s="341"/>
      <c r="D1084" s="331"/>
    </row>
    <row r="1085" spans="1:4" x14ac:dyDescent="0.2">
      <c r="A1085" s="728">
        <v>43885</v>
      </c>
      <c r="B1085" s="331">
        <v>277317</v>
      </c>
      <c r="C1085" s="341"/>
      <c r="D1085" s="331"/>
    </row>
    <row r="1086" spans="1:4" x14ac:dyDescent="0.2">
      <c r="A1086" s="728">
        <v>43886</v>
      </c>
      <c r="B1086" s="331">
        <v>279881.78999999998</v>
      </c>
      <c r="C1086" s="341"/>
      <c r="D1086" s="331"/>
    </row>
    <row r="1087" spans="1:4" x14ac:dyDescent="0.2">
      <c r="A1087" s="728">
        <v>43887</v>
      </c>
      <c r="B1087" s="331">
        <v>279882</v>
      </c>
      <c r="C1087" s="341"/>
      <c r="D1087" s="331"/>
    </row>
    <row r="1088" spans="1:4" x14ac:dyDescent="0.2">
      <c r="A1088" s="728">
        <v>43888</v>
      </c>
      <c r="B1088" s="331">
        <v>270773.33</v>
      </c>
      <c r="C1088" s="341"/>
      <c r="D1088" s="331"/>
    </row>
    <row r="1089" spans="1:4" x14ac:dyDescent="0.2">
      <c r="A1089" s="728">
        <v>43889</v>
      </c>
      <c r="B1089" s="331">
        <v>306133.57</v>
      </c>
      <c r="C1089" s="341"/>
      <c r="D1089" s="331"/>
    </row>
    <row r="1090" spans="1:4" x14ac:dyDescent="0.2">
      <c r="A1090" s="728">
        <v>43892</v>
      </c>
      <c r="B1090" s="331">
        <v>267343.68</v>
      </c>
      <c r="C1090" s="341"/>
      <c r="D1090" s="331"/>
    </row>
    <row r="1091" spans="1:4" x14ac:dyDescent="0.2">
      <c r="A1091" s="728">
        <v>43893</v>
      </c>
      <c r="B1091" s="331">
        <v>267157.68</v>
      </c>
      <c r="C1091" s="341"/>
      <c r="D1091" s="331"/>
    </row>
    <row r="1092" spans="1:4" x14ac:dyDescent="0.2">
      <c r="A1092" s="728">
        <v>43894</v>
      </c>
      <c r="B1092" s="331">
        <v>267157.68</v>
      </c>
      <c r="C1092" s="341"/>
      <c r="D1092" s="331"/>
    </row>
    <row r="1093" spans="1:4" x14ac:dyDescent="0.2">
      <c r="A1093" s="728">
        <v>43895</v>
      </c>
      <c r="B1093" s="331">
        <v>264690.95</v>
      </c>
      <c r="C1093" s="341"/>
      <c r="D1093" s="331"/>
    </row>
    <row r="1094" spans="1:4" x14ac:dyDescent="0.2">
      <c r="A1094" s="728">
        <v>43896</v>
      </c>
      <c r="B1094" s="331">
        <v>264495.03999999998</v>
      </c>
      <c r="C1094" s="341"/>
      <c r="D1094" s="331"/>
    </row>
    <row r="1095" spans="1:4" x14ac:dyDescent="0.2">
      <c r="A1095" s="728">
        <v>43899</v>
      </c>
      <c r="B1095" s="331">
        <v>264495.03999999998</v>
      </c>
      <c r="C1095" s="341"/>
      <c r="D1095" s="331"/>
    </row>
    <row r="1096" spans="1:4" x14ac:dyDescent="0.2">
      <c r="A1096" s="728">
        <v>43900</v>
      </c>
      <c r="B1096" s="331">
        <v>267283.63</v>
      </c>
      <c r="C1096" s="341"/>
      <c r="D1096" s="331"/>
    </row>
    <row r="1097" spans="1:4" x14ac:dyDescent="0.2">
      <c r="A1097" s="728">
        <v>43901</v>
      </c>
      <c r="B1097" s="331">
        <v>267283.63</v>
      </c>
      <c r="C1097" s="341"/>
      <c r="D1097" s="331"/>
    </row>
    <row r="1098" spans="1:4" x14ac:dyDescent="0.2">
      <c r="A1098" s="728">
        <v>43902</v>
      </c>
      <c r="B1098" s="331">
        <v>259537.69</v>
      </c>
      <c r="C1098" s="341"/>
      <c r="D1098" s="331"/>
    </row>
    <row r="1099" spans="1:4" x14ac:dyDescent="0.2">
      <c r="A1099" s="728">
        <v>43903</v>
      </c>
      <c r="B1099" s="331">
        <v>259645.65</v>
      </c>
      <c r="C1099" s="341"/>
      <c r="D1099" s="331"/>
    </row>
    <row r="1100" spans="1:4" x14ac:dyDescent="0.2">
      <c r="A1100" s="728">
        <v>43906</v>
      </c>
      <c r="B1100" s="331">
        <v>279221.03000000003</v>
      </c>
      <c r="C1100" s="341"/>
      <c r="D1100" s="331"/>
    </row>
    <row r="1101" spans="1:4" x14ac:dyDescent="0.2">
      <c r="A1101" s="728">
        <v>43907</v>
      </c>
      <c r="B1101" s="331">
        <v>232150.36</v>
      </c>
      <c r="C1101" s="341"/>
      <c r="D1101" s="331"/>
    </row>
    <row r="1102" spans="1:4" x14ac:dyDescent="0.2">
      <c r="A1102" s="728">
        <v>43908</v>
      </c>
      <c r="B1102" s="331">
        <v>274274.51</v>
      </c>
      <c r="C1102" s="341"/>
      <c r="D1102" s="331"/>
    </row>
    <row r="1103" spans="1:4" x14ac:dyDescent="0.2">
      <c r="A1103" s="728">
        <v>43909</v>
      </c>
      <c r="B1103" s="331">
        <v>276629.48</v>
      </c>
      <c r="C1103" s="341"/>
      <c r="D1103" s="331"/>
    </row>
    <row r="1104" spans="1:4" x14ac:dyDescent="0.2">
      <c r="A1104" s="728">
        <v>43910</v>
      </c>
      <c r="B1104" s="331">
        <v>276629.48</v>
      </c>
      <c r="C1104" s="341"/>
      <c r="D1104" s="331"/>
    </row>
    <row r="1105" spans="1:4" x14ac:dyDescent="0.2">
      <c r="A1105" s="728">
        <v>43913</v>
      </c>
      <c r="B1105" s="331">
        <v>292626.55</v>
      </c>
      <c r="C1105" s="341"/>
      <c r="D1105" s="331"/>
    </row>
    <row r="1106" spans="1:4" x14ac:dyDescent="0.2">
      <c r="A1106" s="728">
        <v>43914</v>
      </c>
      <c r="B1106" s="331">
        <v>292626.55</v>
      </c>
      <c r="C1106" s="341"/>
      <c r="D1106" s="331"/>
    </row>
    <row r="1107" spans="1:4" x14ac:dyDescent="0.2">
      <c r="A1107" s="728">
        <v>43915</v>
      </c>
      <c r="B1107" s="331">
        <v>292626.55</v>
      </c>
      <c r="C1107" s="341"/>
      <c r="D1107" s="331"/>
    </row>
    <row r="1108" spans="1:4" x14ac:dyDescent="0.2">
      <c r="A1108" s="728">
        <v>43916</v>
      </c>
      <c r="B1108" s="331">
        <v>292626.55</v>
      </c>
      <c r="C1108" s="341"/>
      <c r="D1108" s="331"/>
    </row>
    <row r="1109" spans="1:4" x14ac:dyDescent="0.2">
      <c r="A1109" s="728">
        <v>43917</v>
      </c>
      <c r="B1109" s="331">
        <v>292582.55</v>
      </c>
      <c r="C1109" s="341"/>
      <c r="D1109" s="331"/>
    </row>
    <row r="1110" spans="1:4" x14ac:dyDescent="0.2">
      <c r="A1110" s="728">
        <v>43920</v>
      </c>
      <c r="B1110" s="331">
        <v>292582.55</v>
      </c>
      <c r="C1110" s="341"/>
      <c r="D1110" s="331"/>
    </row>
    <row r="1111" spans="1:4" x14ac:dyDescent="0.2">
      <c r="A1111" s="728">
        <v>43921</v>
      </c>
      <c r="B1111" s="331">
        <v>292582.55</v>
      </c>
      <c r="C1111" s="341"/>
      <c r="D1111" s="331"/>
    </row>
    <row r="1112" spans="1:4" x14ac:dyDescent="0.2">
      <c r="A1112" s="728">
        <v>43922</v>
      </c>
      <c r="B1112" s="331">
        <v>256343.91</v>
      </c>
      <c r="C1112" s="341"/>
      <c r="D1112" s="331"/>
    </row>
    <row r="1113" spans="1:4" x14ac:dyDescent="0.2">
      <c r="A1113" s="728">
        <v>43923</v>
      </c>
      <c r="B1113" s="331">
        <v>260066.55</v>
      </c>
      <c r="C1113" s="341"/>
      <c r="D1113" s="331"/>
    </row>
    <row r="1114" spans="1:4" x14ac:dyDescent="0.2">
      <c r="A1114" s="728">
        <v>43924</v>
      </c>
      <c r="B1114" s="331">
        <v>259418.64</v>
      </c>
      <c r="C1114" s="341"/>
      <c r="D1114" s="331"/>
    </row>
    <row r="1115" spans="1:4" x14ac:dyDescent="0.2">
      <c r="A1115" s="728">
        <v>43927</v>
      </c>
      <c r="B1115" s="331">
        <v>259418.64</v>
      </c>
      <c r="C1115" s="341"/>
      <c r="D1115" s="331"/>
    </row>
    <row r="1116" spans="1:4" x14ac:dyDescent="0.2">
      <c r="A1116" s="728">
        <v>43928</v>
      </c>
      <c r="B1116" s="331">
        <v>259418.64</v>
      </c>
      <c r="C1116" s="341"/>
      <c r="D1116" s="331"/>
    </row>
    <row r="1117" spans="1:4" x14ac:dyDescent="0.2">
      <c r="A1117" s="728">
        <v>43929</v>
      </c>
      <c r="B1117" s="331">
        <v>259418.64</v>
      </c>
      <c r="C1117" s="341"/>
      <c r="D1117" s="331"/>
    </row>
    <row r="1118" spans="1:4" x14ac:dyDescent="0.2">
      <c r="A1118" s="728">
        <v>43930</v>
      </c>
      <c r="B1118" s="331">
        <v>256056.32000000001</v>
      </c>
      <c r="C1118" s="341"/>
      <c r="D1118" s="331"/>
    </row>
    <row r="1119" spans="1:4" x14ac:dyDescent="0.2">
      <c r="A1119" s="728">
        <v>43931</v>
      </c>
      <c r="B1119" s="331">
        <v>256056.32000000001</v>
      </c>
      <c r="C1119" s="341"/>
      <c r="D1119" s="331"/>
    </row>
    <row r="1120" spans="1:4" x14ac:dyDescent="0.2">
      <c r="A1120" s="728">
        <v>43934</v>
      </c>
      <c r="B1120" s="331">
        <v>256056.32000000001</v>
      </c>
      <c r="C1120" s="341"/>
      <c r="D1120" s="331"/>
    </row>
    <row r="1121" spans="1:4" x14ac:dyDescent="0.2">
      <c r="A1121" s="728">
        <v>43935</v>
      </c>
      <c r="B1121" s="331">
        <v>256056.32000000001</v>
      </c>
      <c r="C1121" s="341"/>
      <c r="D1121" s="331"/>
    </row>
    <row r="1122" spans="1:4" x14ac:dyDescent="0.2">
      <c r="A1122" s="728">
        <v>43936</v>
      </c>
      <c r="B1122" s="331">
        <v>222877.12</v>
      </c>
      <c r="C1122" s="341"/>
      <c r="D1122" s="331"/>
    </row>
    <row r="1123" spans="1:4" x14ac:dyDescent="0.2">
      <c r="A1123" s="728">
        <v>43937</v>
      </c>
      <c r="B1123" s="331">
        <v>222877.12</v>
      </c>
      <c r="C1123" s="341"/>
      <c r="D1123" s="331"/>
    </row>
    <row r="1124" spans="1:4" x14ac:dyDescent="0.2">
      <c r="A1124" s="728">
        <v>43938</v>
      </c>
      <c r="B1124" s="331">
        <v>222415.21</v>
      </c>
      <c r="C1124" s="341"/>
      <c r="D1124" s="331"/>
    </row>
    <row r="1125" spans="1:4" x14ac:dyDescent="0.2">
      <c r="A1125" s="728">
        <v>43941</v>
      </c>
      <c r="B1125" s="331">
        <v>222415.21</v>
      </c>
      <c r="C1125" s="341"/>
      <c r="D1125" s="331"/>
    </row>
    <row r="1126" spans="1:4" x14ac:dyDescent="0.2">
      <c r="A1126" s="728">
        <v>43942</v>
      </c>
      <c r="B1126" s="331">
        <v>222415.21</v>
      </c>
      <c r="C1126" s="341"/>
      <c r="D1126" s="331"/>
    </row>
    <row r="1127" spans="1:4" x14ac:dyDescent="0.2">
      <c r="A1127" s="728">
        <v>43943</v>
      </c>
      <c r="B1127" s="331">
        <v>222415.21</v>
      </c>
      <c r="C1127" s="341"/>
      <c r="D1127" s="331"/>
    </row>
    <row r="1128" spans="1:4" x14ac:dyDescent="0.2">
      <c r="A1128" s="728">
        <v>43944</v>
      </c>
      <c r="B1128" s="331">
        <v>185658.71</v>
      </c>
      <c r="C1128" s="341"/>
      <c r="D1128" s="331"/>
    </row>
    <row r="1129" spans="1:4" x14ac:dyDescent="0.2">
      <c r="A1129" s="728">
        <v>43945</v>
      </c>
      <c r="B1129" s="331">
        <v>185658.71</v>
      </c>
      <c r="C1129" s="341"/>
      <c r="D1129" s="331"/>
    </row>
    <row r="1130" spans="1:4" x14ac:dyDescent="0.2">
      <c r="A1130" s="728">
        <v>43948</v>
      </c>
      <c r="B1130" s="331">
        <v>185614.71</v>
      </c>
      <c r="C1130" s="341"/>
      <c r="D1130" s="331"/>
    </row>
    <row r="1131" spans="1:4" x14ac:dyDescent="0.2">
      <c r="A1131" s="728">
        <v>43949</v>
      </c>
      <c r="B1131" s="364">
        <v>152434.01999999999</v>
      </c>
      <c r="C1131" s="341"/>
      <c r="D1131" s="364"/>
    </row>
    <row r="1132" spans="1:4" x14ac:dyDescent="0.2">
      <c r="A1132" s="728">
        <v>43950</v>
      </c>
      <c r="B1132" s="331">
        <v>152434.01999999999</v>
      </c>
      <c r="C1132" s="341"/>
      <c r="D1132" s="331"/>
    </row>
    <row r="1133" spans="1:4" x14ac:dyDescent="0.2">
      <c r="A1133" s="728">
        <v>43951</v>
      </c>
      <c r="B1133" s="331">
        <v>173230.55</v>
      </c>
      <c r="C1133" s="341"/>
      <c r="D1133" s="331"/>
    </row>
    <row r="1134" spans="1:4" x14ac:dyDescent="0.2">
      <c r="A1134" s="728">
        <v>43952</v>
      </c>
      <c r="B1134" s="331">
        <f>C1134+D1134</f>
        <v>173492.71000000002</v>
      </c>
      <c r="C1134" s="478">
        <v>172768.64000000001</v>
      </c>
      <c r="D1134" s="479">
        <v>724.07</v>
      </c>
    </row>
    <row r="1135" spans="1:4" x14ac:dyDescent="0.2">
      <c r="A1135" s="728">
        <v>43955</v>
      </c>
      <c r="B1135" s="331">
        <f t="shared" ref="B1135:B1198" si="6">C1135+D1135</f>
        <v>173306.64</v>
      </c>
      <c r="C1135" s="478">
        <v>172582.64</v>
      </c>
      <c r="D1135" s="479">
        <v>724</v>
      </c>
    </row>
    <row r="1136" spans="1:4" x14ac:dyDescent="0.2">
      <c r="A1136" s="728">
        <v>43956</v>
      </c>
      <c r="B1136" s="331">
        <f t="shared" si="6"/>
        <v>173307</v>
      </c>
      <c r="C1136" s="478">
        <v>172583</v>
      </c>
      <c r="D1136" s="479">
        <f>D1135</f>
        <v>724</v>
      </c>
    </row>
    <row r="1137" spans="1:4" x14ac:dyDescent="0.2">
      <c r="A1137" s="728">
        <v>43957</v>
      </c>
      <c r="B1137" s="331">
        <f t="shared" si="6"/>
        <v>173307</v>
      </c>
      <c r="C1137" s="478">
        <v>172583</v>
      </c>
      <c r="D1137" s="479">
        <f t="shared" ref="D1137:D1179" si="7">D1136</f>
        <v>724</v>
      </c>
    </row>
    <row r="1138" spans="1:4" x14ac:dyDescent="0.2">
      <c r="A1138" s="728">
        <v>43958</v>
      </c>
      <c r="B1138" s="331">
        <f t="shared" si="6"/>
        <v>173307</v>
      </c>
      <c r="C1138" s="478">
        <v>172583</v>
      </c>
      <c r="D1138" s="479">
        <f t="shared" si="7"/>
        <v>724</v>
      </c>
    </row>
    <row r="1139" spans="1:4" x14ac:dyDescent="0.2">
      <c r="A1139" s="728">
        <v>43959</v>
      </c>
      <c r="B1139" s="331">
        <f t="shared" si="6"/>
        <v>385709.68000000005</v>
      </c>
      <c r="C1139" s="478">
        <v>187582.64</v>
      </c>
      <c r="D1139" s="479">
        <v>198127.04</v>
      </c>
    </row>
    <row r="1140" spans="1:4" x14ac:dyDescent="0.2">
      <c r="A1140" s="728">
        <v>43962</v>
      </c>
      <c r="B1140" s="331">
        <f t="shared" si="6"/>
        <v>385710.04000000004</v>
      </c>
      <c r="C1140" s="478">
        <v>187583</v>
      </c>
      <c r="D1140" s="479">
        <f t="shared" si="7"/>
        <v>198127.04</v>
      </c>
    </row>
    <row r="1141" spans="1:4" x14ac:dyDescent="0.2">
      <c r="A1141" s="728">
        <v>43963</v>
      </c>
      <c r="B1141" s="364">
        <f t="shared" si="6"/>
        <v>385904.98</v>
      </c>
      <c r="C1141" s="478">
        <v>187777.94</v>
      </c>
      <c r="D1141" s="479">
        <f t="shared" si="7"/>
        <v>198127.04</v>
      </c>
    </row>
    <row r="1142" spans="1:4" x14ac:dyDescent="0.2">
      <c r="A1142" s="728">
        <v>43964</v>
      </c>
      <c r="B1142" s="331">
        <f t="shared" si="6"/>
        <v>362979.35</v>
      </c>
      <c r="C1142" s="478">
        <v>187778</v>
      </c>
      <c r="D1142" s="479">
        <v>175201.35</v>
      </c>
    </row>
    <row r="1143" spans="1:4" x14ac:dyDescent="0.2">
      <c r="A1143" s="728">
        <v>43965</v>
      </c>
      <c r="B1143" s="331">
        <f t="shared" si="6"/>
        <v>362979.35</v>
      </c>
      <c r="C1143" s="478">
        <v>187778</v>
      </c>
      <c r="D1143" s="479">
        <f t="shared" si="7"/>
        <v>175201.35</v>
      </c>
    </row>
    <row r="1144" spans="1:4" x14ac:dyDescent="0.2">
      <c r="A1144" s="728">
        <v>43966</v>
      </c>
      <c r="B1144" s="331">
        <f t="shared" si="6"/>
        <v>362624.73</v>
      </c>
      <c r="C1144" s="478">
        <v>187400</v>
      </c>
      <c r="D1144" s="479">
        <v>175224.73</v>
      </c>
    </row>
    <row r="1145" spans="1:4" x14ac:dyDescent="0.2">
      <c r="A1145" s="728">
        <v>43969</v>
      </c>
      <c r="B1145" s="331">
        <f t="shared" si="6"/>
        <v>362070.03</v>
      </c>
      <c r="C1145" s="478">
        <v>187400</v>
      </c>
      <c r="D1145" s="479">
        <v>174670.03</v>
      </c>
    </row>
    <row r="1146" spans="1:4" x14ac:dyDescent="0.2">
      <c r="A1146" s="728">
        <v>43970</v>
      </c>
      <c r="B1146" s="331">
        <f t="shared" si="6"/>
        <v>352214.86</v>
      </c>
      <c r="C1146" s="478">
        <v>187400</v>
      </c>
      <c r="D1146" s="479">
        <v>164814.85999999999</v>
      </c>
    </row>
    <row r="1147" spans="1:4" x14ac:dyDescent="0.2">
      <c r="A1147" s="728">
        <v>43971</v>
      </c>
      <c r="B1147" s="331">
        <f t="shared" si="6"/>
        <v>352214.86</v>
      </c>
      <c r="C1147" s="478">
        <v>187400</v>
      </c>
      <c r="D1147" s="479">
        <f t="shared" si="7"/>
        <v>164814.85999999999</v>
      </c>
    </row>
    <row r="1148" spans="1:4" x14ac:dyDescent="0.2">
      <c r="A1148" s="728">
        <v>43972</v>
      </c>
      <c r="B1148" s="331">
        <f t="shared" si="6"/>
        <v>337570.28</v>
      </c>
      <c r="C1148" s="478">
        <v>178152.54</v>
      </c>
      <c r="D1148" s="479">
        <v>159417.74</v>
      </c>
    </row>
    <row r="1149" spans="1:4" x14ac:dyDescent="0.2">
      <c r="A1149" s="728">
        <v>43973</v>
      </c>
      <c r="B1149" s="331">
        <f t="shared" si="6"/>
        <v>337570.28</v>
      </c>
      <c r="C1149" s="478">
        <v>178152.54</v>
      </c>
      <c r="D1149" s="479">
        <f t="shared" si="7"/>
        <v>159417.74</v>
      </c>
    </row>
    <row r="1150" spans="1:4" x14ac:dyDescent="0.2">
      <c r="A1150" s="728">
        <v>43976</v>
      </c>
      <c r="B1150" s="331">
        <f t="shared" si="6"/>
        <v>337570.28</v>
      </c>
      <c r="C1150" s="478">
        <v>178152.54</v>
      </c>
      <c r="D1150" s="479">
        <f t="shared" si="7"/>
        <v>159417.74</v>
      </c>
    </row>
    <row r="1151" spans="1:4" x14ac:dyDescent="0.2">
      <c r="A1151" s="728">
        <v>43977</v>
      </c>
      <c r="B1151" s="331">
        <f t="shared" si="6"/>
        <v>337570.28</v>
      </c>
      <c r="C1151" s="478">
        <v>178152.54</v>
      </c>
      <c r="D1151" s="479">
        <f t="shared" si="7"/>
        <v>159417.74</v>
      </c>
    </row>
    <row r="1152" spans="1:4" x14ac:dyDescent="0.2">
      <c r="A1152" s="728">
        <v>43978</v>
      </c>
      <c r="B1152" s="331">
        <f t="shared" si="6"/>
        <v>314828.33999999997</v>
      </c>
      <c r="C1152" s="478">
        <v>178108.54</v>
      </c>
      <c r="D1152" s="479">
        <v>136719.79999999999</v>
      </c>
    </row>
    <row r="1153" spans="1:4" x14ac:dyDescent="0.2">
      <c r="A1153" s="728">
        <v>43979</v>
      </c>
      <c r="B1153" s="331">
        <f t="shared" si="6"/>
        <v>314642.31</v>
      </c>
      <c r="C1153" s="478">
        <v>177922.51</v>
      </c>
      <c r="D1153" s="479">
        <f t="shared" si="7"/>
        <v>136719.79999999999</v>
      </c>
    </row>
    <row r="1154" spans="1:4" x14ac:dyDescent="0.2">
      <c r="A1154" s="728">
        <v>43980</v>
      </c>
      <c r="B1154" s="331">
        <f t="shared" si="6"/>
        <v>314180.40000000002</v>
      </c>
      <c r="C1154" s="478">
        <v>177460.6</v>
      </c>
      <c r="D1154" s="479">
        <f t="shared" si="7"/>
        <v>136719.79999999999</v>
      </c>
    </row>
    <row r="1155" spans="1:4" x14ac:dyDescent="0.2">
      <c r="A1155" s="728">
        <v>43983</v>
      </c>
      <c r="B1155" s="331">
        <f t="shared" si="6"/>
        <v>336211.19</v>
      </c>
      <c r="C1155" s="478">
        <v>201698.93</v>
      </c>
      <c r="D1155" s="479">
        <v>134512.26</v>
      </c>
    </row>
    <row r="1156" spans="1:4" x14ac:dyDescent="0.2">
      <c r="A1156" s="728">
        <v>43984</v>
      </c>
      <c r="B1156" s="331">
        <f t="shared" si="6"/>
        <v>327639.93</v>
      </c>
      <c r="C1156" s="478">
        <v>201512.93</v>
      </c>
      <c r="D1156" s="479">
        <v>126127</v>
      </c>
    </row>
    <row r="1157" spans="1:4" x14ac:dyDescent="0.2">
      <c r="A1157" s="728">
        <v>43985</v>
      </c>
      <c r="B1157" s="331">
        <f t="shared" si="6"/>
        <v>327640</v>
      </c>
      <c r="C1157" s="478">
        <v>201513</v>
      </c>
      <c r="D1157" s="479">
        <f t="shared" si="7"/>
        <v>126127</v>
      </c>
    </row>
    <row r="1158" spans="1:4" x14ac:dyDescent="0.2">
      <c r="A1158" s="728">
        <v>43986</v>
      </c>
      <c r="B1158" s="331">
        <f t="shared" si="6"/>
        <v>332166.29000000004</v>
      </c>
      <c r="C1158" s="478">
        <v>206039.29</v>
      </c>
      <c r="D1158" s="479">
        <f t="shared" si="7"/>
        <v>126127</v>
      </c>
    </row>
    <row r="1159" spans="1:4" x14ac:dyDescent="0.2">
      <c r="A1159" s="728">
        <v>43987</v>
      </c>
      <c r="B1159" s="331">
        <f t="shared" si="6"/>
        <v>332166.29000000004</v>
      </c>
      <c r="C1159" s="478">
        <f>C1158</f>
        <v>206039.29</v>
      </c>
      <c r="D1159" s="479">
        <f t="shared" si="7"/>
        <v>126127</v>
      </c>
    </row>
    <row r="1160" spans="1:4" x14ac:dyDescent="0.2">
      <c r="A1160" s="728">
        <v>43990</v>
      </c>
      <c r="B1160" s="331">
        <f t="shared" si="6"/>
        <v>378580.41000000003</v>
      </c>
      <c r="C1160" s="478">
        <v>252453.41</v>
      </c>
      <c r="D1160" s="479">
        <f t="shared" si="7"/>
        <v>126127</v>
      </c>
    </row>
    <row r="1161" spans="1:4" x14ac:dyDescent="0.2">
      <c r="A1161" s="728">
        <v>43991</v>
      </c>
      <c r="B1161" s="331">
        <f t="shared" si="6"/>
        <v>378580.41000000003</v>
      </c>
      <c r="C1161" s="478">
        <f t="shared" ref="C1161:C1175" si="8">C1160</f>
        <v>252453.41</v>
      </c>
      <c r="D1161" s="479">
        <f t="shared" si="7"/>
        <v>126127</v>
      </c>
    </row>
    <row r="1162" spans="1:4" x14ac:dyDescent="0.2">
      <c r="A1162" s="728">
        <v>43992</v>
      </c>
      <c r="B1162" s="331">
        <f t="shared" si="6"/>
        <v>355599.42</v>
      </c>
      <c r="C1162" s="478">
        <f t="shared" si="8"/>
        <v>252453.41</v>
      </c>
      <c r="D1162" s="479">
        <v>103146.01</v>
      </c>
    </row>
    <row r="1163" spans="1:4" x14ac:dyDescent="0.2">
      <c r="A1163" s="728">
        <v>43993</v>
      </c>
      <c r="B1163" s="331">
        <f t="shared" si="6"/>
        <v>348512.49</v>
      </c>
      <c r="C1163" s="478">
        <v>255461.07</v>
      </c>
      <c r="D1163" s="479">
        <v>93051.42</v>
      </c>
    </row>
    <row r="1164" spans="1:4" x14ac:dyDescent="0.2">
      <c r="A1164" s="728">
        <v>43994</v>
      </c>
      <c r="B1164" s="331">
        <f t="shared" si="6"/>
        <v>351663.19</v>
      </c>
      <c r="C1164" s="478">
        <v>258611.77</v>
      </c>
      <c r="D1164" s="479">
        <f t="shared" si="7"/>
        <v>93051.42</v>
      </c>
    </row>
    <row r="1165" spans="1:4" x14ac:dyDescent="0.2">
      <c r="A1165" s="728">
        <v>43997</v>
      </c>
      <c r="B1165" s="331">
        <f t="shared" si="6"/>
        <v>351097.70999999996</v>
      </c>
      <c r="C1165" s="478">
        <f t="shared" si="8"/>
        <v>258611.77</v>
      </c>
      <c r="D1165" s="479">
        <v>92485.94</v>
      </c>
    </row>
    <row r="1166" spans="1:4" x14ac:dyDescent="0.2">
      <c r="A1166" s="728">
        <v>43998</v>
      </c>
      <c r="B1166" s="331">
        <f t="shared" si="6"/>
        <v>351097.70999999996</v>
      </c>
      <c r="C1166" s="478">
        <f t="shared" si="8"/>
        <v>258611.77</v>
      </c>
      <c r="D1166" s="479">
        <f t="shared" si="7"/>
        <v>92485.94</v>
      </c>
    </row>
    <row r="1167" spans="1:4" x14ac:dyDescent="0.2">
      <c r="A1167" s="728">
        <v>43999</v>
      </c>
      <c r="B1167" s="331">
        <f t="shared" si="6"/>
        <v>342735.58</v>
      </c>
      <c r="C1167" s="478">
        <v>250249.64</v>
      </c>
      <c r="D1167" s="479">
        <f t="shared" si="7"/>
        <v>92485.94</v>
      </c>
    </row>
    <row r="1168" spans="1:4" x14ac:dyDescent="0.2">
      <c r="A1168" s="728">
        <v>44000</v>
      </c>
      <c r="B1168" s="331">
        <f t="shared" si="6"/>
        <v>344495.52</v>
      </c>
      <c r="C1168" s="478">
        <v>252009.58</v>
      </c>
      <c r="D1168" s="479">
        <f t="shared" si="7"/>
        <v>92485.94</v>
      </c>
    </row>
    <row r="1169" spans="1:4" x14ac:dyDescent="0.2">
      <c r="A1169" s="728">
        <v>44001</v>
      </c>
      <c r="B1169" s="331">
        <f t="shared" si="6"/>
        <v>344495.52</v>
      </c>
      <c r="C1169" s="478">
        <f t="shared" si="8"/>
        <v>252009.58</v>
      </c>
      <c r="D1169" s="479">
        <f t="shared" si="7"/>
        <v>92485.94</v>
      </c>
    </row>
    <row r="1170" spans="1:4" x14ac:dyDescent="0.2">
      <c r="A1170" s="728">
        <v>44004</v>
      </c>
      <c r="B1170" s="331">
        <f t="shared" si="6"/>
        <v>344495.52</v>
      </c>
      <c r="C1170" s="478">
        <f t="shared" si="8"/>
        <v>252009.58</v>
      </c>
      <c r="D1170" s="479">
        <f t="shared" si="7"/>
        <v>92485.94</v>
      </c>
    </row>
    <row r="1171" spans="1:4" x14ac:dyDescent="0.2">
      <c r="A1171" s="728">
        <v>44005</v>
      </c>
      <c r="B1171" s="331">
        <f t="shared" si="6"/>
        <v>334324.15000000002</v>
      </c>
      <c r="C1171" s="478">
        <v>241838.21</v>
      </c>
      <c r="D1171" s="479">
        <f t="shared" si="7"/>
        <v>92485.94</v>
      </c>
    </row>
    <row r="1172" spans="1:4" x14ac:dyDescent="0.2">
      <c r="A1172" s="728">
        <v>44006</v>
      </c>
      <c r="B1172" s="331">
        <f t="shared" si="6"/>
        <v>342928.85</v>
      </c>
      <c r="C1172" s="478">
        <v>275398.59999999998</v>
      </c>
      <c r="D1172" s="479">
        <v>67530.25</v>
      </c>
    </row>
    <row r="1173" spans="1:4" x14ac:dyDescent="0.2">
      <c r="A1173" s="728">
        <v>44007</v>
      </c>
      <c r="B1173" s="331">
        <f t="shared" si="6"/>
        <v>325375.87</v>
      </c>
      <c r="C1173" s="478">
        <v>268709.96999999997</v>
      </c>
      <c r="D1173" s="479">
        <v>56665.9</v>
      </c>
    </row>
    <row r="1174" spans="1:4" x14ac:dyDescent="0.2">
      <c r="A1174" s="728">
        <v>44008</v>
      </c>
      <c r="B1174" s="331">
        <f t="shared" si="6"/>
        <v>324225.81</v>
      </c>
      <c r="C1174" s="478">
        <v>268257.68</v>
      </c>
      <c r="D1174" s="479">
        <v>55968.13</v>
      </c>
    </row>
    <row r="1175" spans="1:4" x14ac:dyDescent="0.2">
      <c r="A1175" s="728">
        <v>44011</v>
      </c>
      <c r="B1175" s="331">
        <f t="shared" si="6"/>
        <v>324225.81</v>
      </c>
      <c r="C1175" s="478">
        <f t="shared" si="8"/>
        <v>268257.68</v>
      </c>
      <c r="D1175" s="479">
        <f t="shared" si="7"/>
        <v>55968.13</v>
      </c>
    </row>
    <row r="1176" spans="1:4" x14ac:dyDescent="0.2">
      <c r="A1176" s="728">
        <v>44012</v>
      </c>
      <c r="B1176" s="331">
        <f t="shared" si="6"/>
        <v>332737.41000000003</v>
      </c>
      <c r="C1176" s="478">
        <v>276769.28000000003</v>
      </c>
      <c r="D1176" s="479">
        <f t="shared" si="7"/>
        <v>55968.13</v>
      </c>
    </row>
    <row r="1177" spans="1:4" x14ac:dyDescent="0.2">
      <c r="A1177" s="728">
        <v>44013</v>
      </c>
      <c r="B1177" s="331">
        <f t="shared" si="6"/>
        <v>348287.12</v>
      </c>
      <c r="C1177" s="478">
        <v>292318.99</v>
      </c>
      <c r="D1177" s="479">
        <f t="shared" si="7"/>
        <v>55968.13</v>
      </c>
    </row>
    <row r="1178" spans="1:4" x14ac:dyDescent="0.2">
      <c r="A1178" s="728">
        <v>44014</v>
      </c>
      <c r="B1178" s="331">
        <f t="shared" si="6"/>
        <v>351754.67</v>
      </c>
      <c r="C1178" s="478">
        <v>295786.53999999998</v>
      </c>
      <c r="D1178" s="479">
        <f t="shared" si="7"/>
        <v>55968.13</v>
      </c>
    </row>
    <row r="1179" spans="1:4" x14ac:dyDescent="0.2">
      <c r="A1179" s="728">
        <v>44015</v>
      </c>
      <c r="B1179" s="331">
        <f t="shared" si="6"/>
        <v>352041.67</v>
      </c>
      <c r="C1179" s="478">
        <v>296073.53999999998</v>
      </c>
      <c r="D1179" s="479">
        <f t="shared" si="7"/>
        <v>55968.13</v>
      </c>
    </row>
    <row r="1180" spans="1:4" x14ac:dyDescent="0.2">
      <c r="A1180" s="728">
        <v>44018</v>
      </c>
      <c r="B1180" s="331">
        <f t="shared" si="6"/>
        <v>352042</v>
      </c>
      <c r="C1180" s="478">
        <v>296074</v>
      </c>
      <c r="D1180" s="479">
        <v>55968</v>
      </c>
    </row>
    <row r="1181" spans="1:4" x14ac:dyDescent="0.2">
      <c r="A1181" s="728">
        <v>44019</v>
      </c>
      <c r="B1181" s="331">
        <f t="shared" si="6"/>
        <v>352042</v>
      </c>
      <c r="C1181" s="478">
        <v>296074</v>
      </c>
      <c r="D1181" s="479">
        <v>55968</v>
      </c>
    </row>
    <row r="1182" spans="1:4" x14ac:dyDescent="0.2">
      <c r="A1182" s="728">
        <v>44020</v>
      </c>
      <c r="B1182" s="331">
        <f t="shared" si="6"/>
        <v>326415.09999999998</v>
      </c>
      <c r="C1182" s="478">
        <v>296074</v>
      </c>
      <c r="D1182" s="479">
        <v>30341.1</v>
      </c>
    </row>
    <row r="1183" spans="1:4" x14ac:dyDescent="0.2">
      <c r="A1183" s="728">
        <v>44021</v>
      </c>
      <c r="B1183" s="331">
        <f t="shared" si="6"/>
        <v>312231.88999999996</v>
      </c>
      <c r="C1183" s="478">
        <v>293240.15999999997</v>
      </c>
      <c r="D1183" s="479">
        <v>18991.73</v>
      </c>
    </row>
    <row r="1184" spans="1:4" x14ac:dyDescent="0.2">
      <c r="A1184" s="728">
        <v>44022</v>
      </c>
      <c r="B1184" s="331">
        <f t="shared" si="6"/>
        <v>311779.87</v>
      </c>
      <c r="C1184" s="478">
        <v>292787.87</v>
      </c>
      <c r="D1184" s="479">
        <v>18992</v>
      </c>
    </row>
    <row r="1185" spans="1:4" x14ac:dyDescent="0.2">
      <c r="A1185" s="728">
        <v>44025</v>
      </c>
      <c r="B1185" s="331">
        <f t="shared" si="6"/>
        <v>311474.96999999997</v>
      </c>
      <c r="C1185" s="478">
        <v>293190.87</v>
      </c>
      <c r="D1185" s="479">
        <v>18284.099999999999</v>
      </c>
    </row>
    <row r="1186" spans="1:4" x14ac:dyDescent="0.2">
      <c r="A1186" s="728">
        <v>44026</v>
      </c>
      <c r="B1186" s="331">
        <f t="shared" si="6"/>
        <v>315477.69</v>
      </c>
      <c r="C1186" s="478">
        <v>297193.59000000003</v>
      </c>
      <c r="D1186" s="479">
        <v>18284.099999999999</v>
      </c>
    </row>
    <row r="1187" spans="1:4" x14ac:dyDescent="0.2">
      <c r="A1187" s="728">
        <v>44027</v>
      </c>
      <c r="B1187" s="331">
        <f t="shared" si="6"/>
        <v>315594.98</v>
      </c>
      <c r="C1187" s="478">
        <v>297310.88</v>
      </c>
      <c r="D1187" s="479">
        <v>18284.099999999999</v>
      </c>
    </row>
    <row r="1188" spans="1:4" x14ac:dyDescent="0.2">
      <c r="A1188" s="728">
        <v>44028</v>
      </c>
      <c r="B1188" s="331">
        <f t="shared" si="6"/>
        <v>318211.11</v>
      </c>
      <c r="C1188" s="478">
        <v>299927.01</v>
      </c>
      <c r="D1188" s="479">
        <v>18284.099999999999</v>
      </c>
    </row>
    <row r="1189" spans="1:4" x14ac:dyDescent="0.2">
      <c r="A1189" s="728">
        <v>44029</v>
      </c>
      <c r="B1189" s="331">
        <f t="shared" si="6"/>
        <v>318211.09999999998</v>
      </c>
      <c r="C1189" s="478">
        <v>299927</v>
      </c>
      <c r="D1189" s="479">
        <v>18284.099999999999</v>
      </c>
    </row>
    <row r="1190" spans="1:4" x14ac:dyDescent="0.2">
      <c r="A1190" s="728">
        <v>44032</v>
      </c>
      <c r="B1190" s="331">
        <f t="shared" si="6"/>
        <v>339655.69</v>
      </c>
      <c r="C1190" s="478">
        <v>304374.55</v>
      </c>
      <c r="D1190" s="479">
        <v>35281.14</v>
      </c>
    </row>
    <row r="1191" spans="1:4" x14ac:dyDescent="0.2">
      <c r="A1191" s="728">
        <v>44033</v>
      </c>
      <c r="B1191" s="331">
        <f t="shared" si="6"/>
        <v>328838.90999999997</v>
      </c>
      <c r="C1191" s="478">
        <v>293557.90999999997</v>
      </c>
      <c r="D1191" s="479">
        <v>35281</v>
      </c>
    </row>
    <row r="1192" spans="1:4" x14ac:dyDescent="0.2">
      <c r="A1192" s="728">
        <v>44034</v>
      </c>
      <c r="B1192" s="331">
        <f t="shared" si="6"/>
        <v>315049.81</v>
      </c>
      <c r="C1192" s="478">
        <v>305336.09999999998</v>
      </c>
      <c r="D1192" s="479">
        <v>9713.7099999999991</v>
      </c>
    </row>
    <row r="1193" spans="1:4" x14ac:dyDescent="0.2">
      <c r="A1193" s="728">
        <v>44035</v>
      </c>
      <c r="B1193" s="331">
        <f t="shared" si="6"/>
        <v>308750.14999999997</v>
      </c>
      <c r="C1193" s="478">
        <v>307782.98</v>
      </c>
      <c r="D1193" s="479">
        <v>967.17</v>
      </c>
    </row>
    <row r="1194" spans="1:4" x14ac:dyDescent="0.2">
      <c r="A1194" s="728">
        <v>44036</v>
      </c>
      <c r="B1194" s="331">
        <f t="shared" si="6"/>
        <v>309653.73</v>
      </c>
      <c r="C1194" s="478">
        <v>309453.73</v>
      </c>
      <c r="D1194" s="479">
        <v>200</v>
      </c>
    </row>
    <row r="1195" spans="1:4" x14ac:dyDescent="0.2">
      <c r="A1195" s="728">
        <v>44039</v>
      </c>
      <c r="B1195" s="331">
        <f t="shared" si="6"/>
        <v>300292.32</v>
      </c>
      <c r="C1195" s="478">
        <v>300092.32</v>
      </c>
      <c r="D1195" s="479">
        <v>200</v>
      </c>
    </row>
    <row r="1196" spans="1:4" x14ac:dyDescent="0.2">
      <c r="A1196" s="728">
        <v>44040</v>
      </c>
      <c r="B1196" s="331">
        <f t="shared" si="6"/>
        <v>300248.32000000001</v>
      </c>
      <c r="C1196" s="478">
        <v>300048.32</v>
      </c>
      <c r="D1196" s="479">
        <v>200</v>
      </c>
    </row>
    <row r="1197" spans="1:4" x14ac:dyDescent="0.2">
      <c r="A1197" s="728">
        <v>44041</v>
      </c>
      <c r="B1197" s="331">
        <f t="shared" si="6"/>
        <v>298885.23</v>
      </c>
      <c r="C1197" s="478">
        <v>298685.23</v>
      </c>
      <c r="D1197" s="479">
        <v>200</v>
      </c>
    </row>
    <row r="1198" spans="1:4" x14ac:dyDescent="0.2">
      <c r="A1198" s="728">
        <v>44042</v>
      </c>
      <c r="B1198" s="331">
        <f t="shared" si="6"/>
        <v>298918.89</v>
      </c>
      <c r="C1198" s="478">
        <v>298718.89</v>
      </c>
      <c r="D1198" s="479">
        <v>200</v>
      </c>
    </row>
    <row r="1199" spans="1:4" x14ac:dyDescent="0.2">
      <c r="A1199" s="728">
        <v>44043</v>
      </c>
      <c r="B1199" s="331">
        <f t="shared" ref="B1199:B1262" si="9">C1199+D1199</f>
        <v>298919</v>
      </c>
      <c r="C1199" s="478">
        <v>298719</v>
      </c>
      <c r="D1199" s="479">
        <v>200</v>
      </c>
    </row>
    <row r="1200" spans="1:4" x14ac:dyDescent="0.2">
      <c r="A1200" s="728">
        <v>44046</v>
      </c>
      <c r="B1200" s="331">
        <f t="shared" si="9"/>
        <v>262470.13</v>
      </c>
      <c r="C1200" s="478">
        <v>262270.13</v>
      </c>
      <c r="D1200" s="479">
        <v>200</v>
      </c>
    </row>
    <row r="1201" spans="1:4" x14ac:dyDescent="0.2">
      <c r="A1201" s="728">
        <v>44047</v>
      </c>
      <c r="B1201" s="331">
        <f t="shared" si="9"/>
        <v>254560.85</v>
      </c>
      <c r="C1201" s="478">
        <v>254360.85</v>
      </c>
      <c r="D1201" s="479">
        <v>200</v>
      </c>
    </row>
    <row r="1202" spans="1:4" x14ac:dyDescent="0.2">
      <c r="A1202" s="728">
        <v>44048</v>
      </c>
      <c r="B1202" s="331">
        <f t="shared" si="9"/>
        <v>254561</v>
      </c>
      <c r="C1202" s="478">
        <v>254361</v>
      </c>
      <c r="D1202" s="479">
        <v>200</v>
      </c>
    </row>
    <row r="1203" spans="1:4" x14ac:dyDescent="0.2">
      <c r="A1203" s="728">
        <v>44049</v>
      </c>
      <c r="B1203" s="331">
        <f t="shared" si="9"/>
        <v>256783.26</v>
      </c>
      <c r="C1203" s="478">
        <v>256583.26</v>
      </c>
      <c r="D1203" s="479">
        <v>200</v>
      </c>
    </row>
    <row r="1204" spans="1:4" x14ac:dyDescent="0.2">
      <c r="A1204" s="728">
        <v>44050</v>
      </c>
      <c r="B1204" s="331">
        <f t="shared" si="9"/>
        <v>256330.97</v>
      </c>
      <c r="C1204" s="478">
        <v>256130.97</v>
      </c>
      <c r="D1204" s="479">
        <v>200</v>
      </c>
    </row>
    <row r="1205" spans="1:4" x14ac:dyDescent="0.2">
      <c r="A1205" s="728">
        <v>44053</v>
      </c>
      <c r="B1205" s="331">
        <f t="shared" si="9"/>
        <v>256331</v>
      </c>
      <c r="C1205" s="478">
        <v>256131</v>
      </c>
      <c r="D1205" s="479">
        <v>200</v>
      </c>
    </row>
    <row r="1206" spans="1:4" x14ac:dyDescent="0.2">
      <c r="A1206" s="728">
        <v>44054</v>
      </c>
      <c r="B1206" s="331">
        <f t="shared" si="9"/>
        <v>256331</v>
      </c>
      <c r="C1206" s="478">
        <v>256131</v>
      </c>
      <c r="D1206" s="479">
        <v>200</v>
      </c>
    </row>
    <row r="1207" spans="1:4" x14ac:dyDescent="0.2">
      <c r="A1207" s="728">
        <v>44055</v>
      </c>
      <c r="B1207" s="331">
        <f t="shared" si="9"/>
        <v>256420.97</v>
      </c>
      <c r="C1207" s="478">
        <v>256220.97</v>
      </c>
      <c r="D1207" s="479">
        <v>200</v>
      </c>
    </row>
    <row r="1208" spans="1:4" x14ac:dyDescent="0.2">
      <c r="A1208" s="728">
        <v>44056</v>
      </c>
      <c r="B1208" s="331">
        <f t="shared" si="9"/>
        <v>256421</v>
      </c>
      <c r="C1208" s="478">
        <v>256221</v>
      </c>
      <c r="D1208" s="479">
        <v>200</v>
      </c>
    </row>
    <row r="1209" spans="1:4" x14ac:dyDescent="0.2">
      <c r="A1209" s="728">
        <v>44057</v>
      </c>
      <c r="B1209" s="331">
        <f t="shared" si="9"/>
        <v>296838.09999999998</v>
      </c>
      <c r="C1209" s="478">
        <v>296638.09999999998</v>
      </c>
      <c r="D1209" s="479">
        <v>200</v>
      </c>
    </row>
    <row r="1210" spans="1:4" x14ac:dyDescent="0.2">
      <c r="A1210" s="728">
        <v>44060</v>
      </c>
      <c r="B1210" s="331">
        <f t="shared" si="9"/>
        <v>261012.14</v>
      </c>
      <c r="C1210" s="478">
        <v>260812.14</v>
      </c>
      <c r="D1210" s="479">
        <v>200</v>
      </c>
    </row>
    <row r="1211" spans="1:4" x14ac:dyDescent="0.2">
      <c r="A1211" s="728">
        <v>44061</v>
      </c>
      <c r="B1211" s="331">
        <f t="shared" si="9"/>
        <v>345553.24</v>
      </c>
      <c r="C1211" s="478">
        <v>345353.24</v>
      </c>
      <c r="D1211" s="479">
        <v>200</v>
      </c>
    </row>
    <row r="1212" spans="1:4" x14ac:dyDescent="0.2">
      <c r="A1212" s="728">
        <v>44062</v>
      </c>
      <c r="B1212" s="331">
        <f t="shared" si="9"/>
        <v>345720.24</v>
      </c>
      <c r="C1212" s="478">
        <v>345520.24</v>
      </c>
      <c r="D1212" s="479">
        <v>200</v>
      </c>
    </row>
    <row r="1213" spans="1:4" x14ac:dyDescent="0.2">
      <c r="A1213" s="728">
        <v>44063</v>
      </c>
      <c r="B1213" s="331">
        <f t="shared" si="9"/>
        <v>343380.65</v>
      </c>
      <c r="C1213" s="478">
        <v>343180.65</v>
      </c>
      <c r="D1213" s="479">
        <v>200</v>
      </c>
    </row>
    <row r="1214" spans="1:4" x14ac:dyDescent="0.2">
      <c r="A1214" s="728">
        <v>44064</v>
      </c>
      <c r="B1214" s="331">
        <f t="shared" si="9"/>
        <v>342938.36</v>
      </c>
      <c r="C1214" s="478">
        <v>342738.36</v>
      </c>
      <c r="D1214" s="479">
        <v>200</v>
      </c>
    </row>
    <row r="1215" spans="1:4" x14ac:dyDescent="0.2">
      <c r="A1215" s="728">
        <v>44067</v>
      </c>
      <c r="B1215" s="331">
        <f t="shared" si="9"/>
        <v>342938</v>
      </c>
      <c r="C1215" s="478">
        <v>342738</v>
      </c>
      <c r="D1215" s="479">
        <v>200</v>
      </c>
    </row>
    <row r="1216" spans="1:4" x14ac:dyDescent="0.2">
      <c r="A1216" s="728">
        <v>44068</v>
      </c>
      <c r="B1216" s="331">
        <f t="shared" si="9"/>
        <v>340515.33</v>
      </c>
      <c r="C1216" s="478">
        <v>340315.33</v>
      </c>
      <c r="D1216" s="479">
        <v>200</v>
      </c>
    </row>
    <row r="1217" spans="1:4" x14ac:dyDescent="0.2">
      <c r="A1217" s="728">
        <v>44069</v>
      </c>
      <c r="B1217" s="331">
        <f t="shared" si="9"/>
        <v>359946.57</v>
      </c>
      <c r="C1217" s="478">
        <v>359746.57</v>
      </c>
      <c r="D1217" s="479">
        <v>200</v>
      </c>
    </row>
    <row r="1218" spans="1:4" x14ac:dyDescent="0.2">
      <c r="A1218" s="728">
        <v>44070</v>
      </c>
      <c r="B1218" s="331">
        <f t="shared" si="9"/>
        <v>359946.57</v>
      </c>
      <c r="C1218" s="478">
        <v>359746.57</v>
      </c>
      <c r="D1218" s="479">
        <v>200</v>
      </c>
    </row>
    <row r="1219" spans="1:4" x14ac:dyDescent="0.2">
      <c r="A1219" s="728">
        <v>44071</v>
      </c>
      <c r="B1219" s="331">
        <f t="shared" si="9"/>
        <v>359946.57</v>
      </c>
      <c r="C1219" s="478">
        <v>359746.57</v>
      </c>
      <c r="D1219" s="479">
        <v>200</v>
      </c>
    </row>
    <row r="1220" spans="1:4" x14ac:dyDescent="0.2">
      <c r="A1220" s="728">
        <v>44074</v>
      </c>
      <c r="B1220" s="331">
        <f t="shared" si="9"/>
        <v>359946.57</v>
      </c>
      <c r="C1220" s="478">
        <v>359746.57</v>
      </c>
      <c r="D1220" s="479">
        <v>200</v>
      </c>
    </row>
    <row r="1221" spans="1:4" x14ac:dyDescent="0.2">
      <c r="A1221" s="728">
        <v>44075</v>
      </c>
      <c r="B1221" s="331">
        <f t="shared" si="9"/>
        <v>347126.06</v>
      </c>
      <c r="C1221" s="478">
        <v>346926.06</v>
      </c>
      <c r="D1221" s="479">
        <v>200</v>
      </c>
    </row>
    <row r="1222" spans="1:4" x14ac:dyDescent="0.2">
      <c r="A1222" s="728">
        <v>44076</v>
      </c>
      <c r="B1222" s="331">
        <f t="shared" si="9"/>
        <v>347075.06</v>
      </c>
      <c r="C1222" s="478">
        <v>346875.06</v>
      </c>
      <c r="D1222" s="479">
        <v>200</v>
      </c>
    </row>
    <row r="1223" spans="1:4" x14ac:dyDescent="0.2">
      <c r="A1223" s="728">
        <v>44077</v>
      </c>
      <c r="B1223" s="331">
        <f t="shared" si="9"/>
        <v>350416.44</v>
      </c>
      <c r="C1223" s="478">
        <v>350216.44</v>
      </c>
      <c r="D1223" s="479">
        <v>200</v>
      </c>
    </row>
    <row r="1224" spans="1:4" x14ac:dyDescent="0.2">
      <c r="A1224" s="728">
        <v>44078</v>
      </c>
      <c r="B1224" s="331">
        <f t="shared" si="9"/>
        <v>343258.81</v>
      </c>
      <c r="C1224" s="478">
        <v>343058.81</v>
      </c>
      <c r="D1224" s="479">
        <v>200</v>
      </c>
    </row>
    <row r="1225" spans="1:4" x14ac:dyDescent="0.2">
      <c r="A1225" s="728">
        <v>44081</v>
      </c>
      <c r="B1225" s="331">
        <f t="shared" si="9"/>
        <v>343258.81</v>
      </c>
      <c r="C1225" s="478">
        <v>343058.81</v>
      </c>
      <c r="D1225" s="479">
        <v>200</v>
      </c>
    </row>
    <row r="1226" spans="1:4" x14ac:dyDescent="0.2">
      <c r="A1226" s="728">
        <v>44082</v>
      </c>
      <c r="B1226" s="331">
        <f t="shared" si="9"/>
        <v>343258.81</v>
      </c>
      <c r="C1226" s="478">
        <v>343058.81</v>
      </c>
      <c r="D1226" s="479">
        <v>200</v>
      </c>
    </row>
    <row r="1227" spans="1:4" x14ac:dyDescent="0.2">
      <c r="A1227" s="728">
        <v>44083</v>
      </c>
      <c r="B1227" s="331">
        <f t="shared" si="9"/>
        <v>343258.81</v>
      </c>
      <c r="C1227" s="478">
        <v>343058.81</v>
      </c>
      <c r="D1227" s="479">
        <v>200</v>
      </c>
    </row>
    <row r="1228" spans="1:4" x14ac:dyDescent="0.2">
      <c r="A1228" s="728">
        <v>44084</v>
      </c>
      <c r="B1228" s="331">
        <f t="shared" si="9"/>
        <v>351420.85</v>
      </c>
      <c r="C1228" s="478">
        <v>351220.85</v>
      </c>
      <c r="D1228" s="479">
        <v>200</v>
      </c>
    </row>
    <row r="1229" spans="1:4" x14ac:dyDescent="0.2">
      <c r="A1229" s="728">
        <v>44085</v>
      </c>
      <c r="B1229" s="331">
        <f t="shared" si="9"/>
        <v>351420.85</v>
      </c>
      <c r="C1229" s="478">
        <v>351220.85</v>
      </c>
      <c r="D1229" s="479">
        <v>200</v>
      </c>
    </row>
    <row r="1230" spans="1:4" x14ac:dyDescent="0.2">
      <c r="A1230" s="728">
        <v>44088</v>
      </c>
      <c r="B1230" s="331">
        <f t="shared" si="9"/>
        <v>319295.21000000002</v>
      </c>
      <c r="C1230" s="478">
        <v>319095.21000000002</v>
      </c>
      <c r="D1230" s="479">
        <v>200</v>
      </c>
    </row>
    <row r="1231" spans="1:4" x14ac:dyDescent="0.2">
      <c r="A1231" s="728">
        <v>44089</v>
      </c>
      <c r="B1231" s="331">
        <f t="shared" si="9"/>
        <v>319390.87</v>
      </c>
      <c r="C1231" s="478">
        <v>319190.87</v>
      </c>
      <c r="D1231" s="479">
        <v>200</v>
      </c>
    </row>
    <row r="1232" spans="1:4" x14ac:dyDescent="0.2">
      <c r="A1232" s="728">
        <v>44090</v>
      </c>
      <c r="B1232" s="331">
        <f t="shared" si="9"/>
        <v>318221.31</v>
      </c>
      <c r="C1232" s="478">
        <v>318021.31</v>
      </c>
      <c r="D1232" s="479">
        <v>200</v>
      </c>
    </row>
    <row r="1233" spans="1:4" x14ac:dyDescent="0.2">
      <c r="A1233" s="728">
        <v>44091</v>
      </c>
      <c r="B1233" s="331">
        <f t="shared" si="9"/>
        <v>321494.34000000003</v>
      </c>
      <c r="C1233" s="478">
        <v>321294.34000000003</v>
      </c>
      <c r="D1233" s="479">
        <v>200</v>
      </c>
    </row>
    <row r="1234" spans="1:4" x14ac:dyDescent="0.2">
      <c r="A1234" s="728">
        <v>44092</v>
      </c>
      <c r="B1234" s="331">
        <f t="shared" si="9"/>
        <v>321052.05</v>
      </c>
      <c r="C1234" s="478">
        <v>320852.05</v>
      </c>
      <c r="D1234" s="479">
        <v>200</v>
      </c>
    </row>
    <row r="1235" spans="1:4" x14ac:dyDescent="0.2">
      <c r="A1235" s="728">
        <v>44095</v>
      </c>
      <c r="B1235" s="331">
        <f t="shared" si="9"/>
        <v>321052</v>
      </c>
      <c r="C1235" s="478">
        <v>320852</v>
      </c>
      <c r="D1235" s="479">
        <v>200</v>
      </c>
    </row>
    <row r="1236" spans="1:4" x14ac:dyDescent="0.2">
      <c r="A1236" s="728">
        <v>44096</v>
      </c>
      <c r="B1236" s="331">
        <f t="shared" si="9"/>
        <v>347075.9</v>
      </c>
      <c r="C1236" s="478">
        <v>346875.9</v>
      </c>
      <c r="D1236" s="479">
        <v>200</v>
      </c>
    </row>
    <row r="1237" spans="1:4" x14ac:dyDescent="0.2">
      <c r="A1237" s="728">
        <v>44097</v>
      </c>
      <c r="B1237" s="331">
        <f t="shared" si="9"/>
        <v>348950.3</v>
      </c>
      <c r="C1237" s="478">
        <v>348750.3</v>
      </c>
      <c r="D1237" s="479">
        <v>200</v>
      </c>
    </row>
    <row r="1238" spans="1:4" x14ac:dyDescent="0.2">
      <c r="A1238" s="728">
        <v>44098</v>
      </c>
      <c r="B1238" s="331">
        <f t="shared" si="9"/>
        <v>354130.18</v>
      </c>
      <c r="C1238" s="478">
        <v>353930.18</v>
      </c>
      <c r="D1238" s="479">
        <v>200</v>
      </c>
    </row>
    <row r="1239" spans="1:4" x14ac:dyDescent="0.2">
      <c r="A1239" s="728">
        <v>44099</v>
      </c>
      <c r="B1239" s="331">
        <f t="shared" si="9"/>
        <v>354086.18</v>
      </c>
      <c r="C1239" s="478">
        <v>353886.18</v>
      </c>
      <c r="D1239" s="479">
        <v>200</v>
      </c>
    </row>
    <row r="1240" spans="1:4" x14ac:dyDescent="0.2">
      <c r="A1240" s="728">
        <v>44102</v>
      </c>
      <c r="B1240" s="331">
        <f t="shared" si="9"/>
        <v>348608</v>
      </c>
      <c r="C1240" s="478">
        <v>348408</v>
      </c>
      <c r="D1240" s="479">
        <v>200</v>
      </c>
    </row>
    <row r="1241" spans="1:4" x14ac:dyDescent="0.2">
      <c r="A1241" s="728">
        <v>44103</v>
      </c>
      <c r="B1241" s="331">
        <f t="shared" si="9"/>
        <v>313591.89</v>
      </c>
      <c r="C1241" s="478">
        <v>313391.89</v>
      </c>
      <c r="D1241" s="479">
        <v>200</v>
      </c>
    </row>
    <row r="1242" spans="1:4" x14ac:dyDescent="0.2">
      <c r="A1242" s="728">
        <v>44104</v>
      </c>
      <c r="B1242" s="331">
        <f t="shared" si="9"/>
        <v>348489.68</v>
      </c>
      <c r="C1242" s="478">
        <v>348289.68</v>
      </c>
      <c r="D1242" s="479">
        <v>200</v>
      </c>
    </row>
    <row r="1243" spans="1:4" x14ac:dyDescent="0.2">
      <c r="A1243" s="728">
        <v>44105</v>
      </c>
      <c r="B1243" s="331">
        <f t="shared" si="9"/>
        <v>346634.44</v>
      </c>
      <c r="C1243" s="478">
        <v>346434.44</v>
      </c>
      <c r="D1243" s="479">
        <v>200</v>
      </c>
    </row>
    <row r="1244" spans="1:4" x14ac:dyDescent="0.2">
      <c r="A1244" s="728">
        <v>44106</v>
      </c>
      <c r="B1244" s="331">
        <f t="shared" si="9"/>
        <v>346390.75</v>
      </c>
      <c r="C1244" s="478">
        <v>346190.75</v>
      </c>
      <c r="D1244" s="479">
        <v>200</v>
      </c>
    </row>
    <row r="1245" spans="1:4" x14ac:dyDescent="0.2">
      <c r="A1245" s="728">
        <v>44109</v>
      </c>
      <c r="B1245" s="331">
        <f t="shared" si="9"/>
        <v>346313.83</v>
      </c>
      <c r="C1245" s="478">
        <v>346113.83</v>
      </c>
      <c r="D1245" s="479">
        <v>200</v>
      </c>
    </row>
    <row r="1246" spans="1:4" x14ac:dyDescent="0.2">
      <c r="A1246" s="728">
        <v>44110</v>
      </c>
      <c r="B1246" s="331">
        <f t="shared" si="9"/>
        <v>346084.99</v>
      </c>
      <c r="C1246" s="478">
        <v>345884.99</v>
      </c>
      <c r="D1246" s="479">
        <v>200</v>
      </c>
    </row>
    <row r="1247" spans="1:4" x14ac:dyDescent="0.2">
      <c r="A1247" s="728">
        <v>44111</v>
      </c>
      <c r="B1247" s="331">
        <f t="shared" si="9"/>
        <v>346085</v>
      </c>
      <c r="C1247" s="478">
        <v>345885</v>
      </c>
      <c r="D1247" s="479">
        <v>200</v>
      </c>
    </row>
    <row r="1248" spans="1:4" x14ac:dyDescent="0.2">
      <c r="A1248" s="728">
        <v>44112</v>
      </c>
      <c r="B1248" s="331">
        <f t="shared" si="9"/>
        <v>380839.99</v>
      </c>
      <c r="C1248" s="478">
        <v>380639.99</v>
      </c>
      <c r="D1248" s="479">
        <v>200</v>
      </c>
    </row>
    <row r="1249" spans="1:4" x14ac:dyDescent="0.2">
      <c r="A1249" s="728">
        <v>44113</v>
      </c>
      <c r="B1249" s="331">
        <f t="shared" si="9"/>
        <v>380840</v>
      </c>
      <c r="C1249" s="478">
        <v>380640</v>
      </c>
      <c r="D1249" s="479">
        <v>200</v>
      </c>
    </row>
    <row r="1250" spans="1:4" x14ac:dyDescent="0.2">
      <c r="A1250" s="728">
        <v>44116</v>
      </c>
      <c r="B1250" s="331">
        <f t="shared" si="9"/>
        <v>380840</v>
      </c>
      <c r="C1250" s="478">
        <v>380640</v>
      </c>
      <c r="D1250" s="479">
        <v>200</v>
      </c>
    </row>
    <row r="1251" spans="1:4" x14ac:dyDescent="0.2">
      <c r="A1251" s="728">
        <v>44117</v>
      </c>
      <c r="B1251" s="331">
        <f t="shared" si="9"/>
        <v>346182.3</v>
      </c>
      <c r="C1251" s="478">
        <v>345982.3</v>
      </c>
      <c r="D1251" s="479">
        <v>200</v>
      </c>
    </row>
    <row r="1252" spans="1:4" x14ac:dyDescent="0.2">
      <c r="A1252" s="728">
        <v>44118</v>
      </c>
      <c r="B1252" s="331">
        <f t="shared" si="9"/>
        <v>346103.46</v>
      </c>
      <c r="C1252" s="478">
        <v>345903.46</v>
      </c>
      <c r="D1252" s="479">
        <v>200</v>
      </c>
    </row>
    <row r="1253" spans="1:4" x14ac:dyDescent="0.2">
      <c r="A1253" s="728">
        <v>44119</v>
      </c>
      <c r="B1253" s="331">
        <f t="shared" si="9"/>
        <v>339569.88</v>
      </c>
      <c r="C1253" s="478">
        <v>339369.88</v>
      </c>
      <c r="D1253" s="479">
        <v>200</v>
      </c>
    </row>
    <row r="1254" spans="1:4" x14ac:dyDescent="0.2">
      <c r="A1254" s="728">
        <v>44120</v>
      </c>
      <c r="B1254" s="331">
        <f t="shared" si="9"/>
        <v>364967.49</v>
      </c>
      <c r="C1254" s="478">
        <v>364767.49</v>
      </c>
      <c r="D1254" s="479">
        <v>200</v>
      </c>
    </row>
    <row r="1255" spans="1:4" x14ac:dyDescent="0.2">
      <c r="A1255" s="728">
        <v>44123</v>
      </c>
      <c r="B1255" s="331">
        <f t="shared" si="9"/>
        <v>343525.33</v>
      </c>
      <c r="C1255" s="478">
        <v>343325.33</v>
      </c>
      <c r="D1255" s="479">
        <v>200</v>
      </c>
    </row>
    <row r="1256" spans="1:4" x14ac:dyDescent="0.2">
      <c r="A1256" s="728">
        <v>44124</v>
      </c>
      <c r="B1256" s="331">
        <f t="shared" si="9"/>
        <v>343525</v>
      </c>
      <c r="C1256" s="478">
        <v>343325</v>
      </c>
      <c r="D1256" s="479">
        <v>200</v>
      </c>
    </row>
    <row r="1257" spans="1:4" x14ac:dyDescent="0.2">
      <c r="A1257" s="728">
        <v>44125</v>
      </c>
      <c r="B1257" s="331">
        <f t="shared" si="9"/>
        <v>340413.21</v>
      </c>
      <c r="C1257" s="478">
        <v>340213.21</v>
      </c>
      <c r="D1257" s="479">
        <v>200</v>
      </c>
    </row>
    <row r="1258" spans="1:4" x14ac:dyDescent="0.2">
      <c r="A1258" s="728">
        <v>44126</v>
      </c>
      <c r="B1258" s="331">
        <f t="shared" si="9"/>
        <v>354245.2</v>
      </c>
      <c r="C1258" s="478">
        <v>354045.2</v>
      </c>
      <c r="D1258" s="479">
        <v>200</v>
      </c>
    </row>
    <row r="1259" spans="1:4" x14ac:dyDescent="0.2">
      <c r="A1259" s="728">
        <v>44127</v>
      </c>
      <c r="B1259" s="331">
        <f t="shared" si="9"/>
        <v>354086.35</v>
      </c>
      <c r="C1259" s="478">
        <v>353886.35</v>
      </c>
      <c r="D1259" s="479">
        <v>200</v>
      </c>
    </row>
    <row r="1260" spans="1:4" x14ac:dyDescent="0.2">
      <c r="A1260" s="728">
        <v>44130</v>
      </c>
      <c r="B1260" s="331">
        <f t="shared" si="9"/>
        <v>354086</v>
      </c>
      <c r="C1260" s="478">
        <v>353886</v>
      </c>
      <c r="D1260" s="479">
        <v>200</v>
      </c>
    </row>
    <row r="1261" spans="1:4" x14ac:dyDescent="0.2">
      <c r="A1261" s="728">
        <v>44131</v>
      </c>
      <c r="B1261" s="331">
        <f t="shared" si="9"/>
        <v>312941.49</v>
      </c>
      <c r="C1261" s="478">
        <v>312741.49</v>
      </c>
      <c r="D1261" s="479">
        <v>200</v>
      </c>
    </row>
    <row r="1262" spans="1:4" x14ac:dyDescent="0.2">
      <c r="A1262" s="728">
        <v>44132</v>
      </c>
      <c r="B1262" s="331">
        <f t="shared" si="9"/>
        <v>312941</v>
      </c>
      <c r="C1262" s="478">
        <v>312741</v>
      </c>
      <c r="D1262" s="479">
        <v>200</v>
      </c>
    </row>
    <row r="1263" spans="1:4" x14ac:dyDescent="0.2">
      <c r="A1263" s="728">
        <v>44133</v>
      </c>
      <c r="B1263" s="331">
        <f t="shared" ref="B1263:B1326" si="10">C1263+D1263</f>
        <v>312941</v>
      </c>
      <c r="C1263" s="478">
        <v>312741</v>
      </c>
      <c r="D1263" s="479">
        <v>200</v>
      </c>
    </row>
    <row r="1264" spans="1:4" x14ac:dyDescent="0.2">
      <c r="A1264" s="728">
        <v>44134</v>
      </c>
      <c r="B1264" s="331">
        <f t="shared" si="10"/>
        <v>336359.66</v>
      </c>
      <c r="C1264" s="478">
        <v>336159.66</v>
      </c>
      <c r="D1264" s="479">
        <v>200</v>
      </c>
    </row>
    <row r="1265" spans="1:4" x14ac:dyDescent="0.2">
      <c r="A1265" s="728">
        <v>44137</v>
      </c>
      <c r="B1265" s="331">
        <f t="shared" si="10"/>
        <v>336077.1</v>
      </c>
      <c r="C1265" s="478">
        <v>335877.1</v>
      </c>
      <c r="D1265" s="479">
        <v>200</v>
      </c>
    </row>
    <row r="1266" spans="1:4" x14ac:dyDescent="0.2">
      <c r="A1266" s="728">
        <v>44138</v>
      </c>
      <c r="B1266" s="331">
        <f t="shared" si="10"/>
        <v>336077</v>
      </c>
      <c r="C1266" s="478">
        <v>335877</v>
      </c>
      <c r="D1266" s="479">
        <v>200</v>
      </c>
    </row>
    <row r="1267" spans="1:4" x14ac:dyDescent="0.2">
      <c r="A1267" s="728">
        <v>44139</v>
      </c>
      <c r="B1267" s="331">
        <f t="shared" si="10"/>
        <v>328153.34999999998</v>
      </c>
      <c r="C1267" s="478">
        <v>327953.34999999998</v>
      </c>
      <c r="D1267" s="479">
        <v>200</v>
      </c>
    </row>
    <row r="1268" spans="1:4" x14ac:dyDescent="0.2">
      <c r="A1268" s="728">
        <v>44140</v>
      </c>
      <c r="B1268" s="331">
        <f t="shared" si="10"/>
        <v>328497.34999999998</v>
      </c>
      <c r="C1268" s="478">
        <v>328297.34999999998</v>
      </c>
      <c r="D1268" s="479">
        <v>200</v>
      </c>
    </row>
    <row r="1269" spans="1:4" x14ac:dyDescent="0.2">
      <c r="A1269" s="728">
        <v>44141</v>
      </c>
      <c r="B1269" s="331">
        <f t="shared" si="10"/>
        <v>327078.57</v>
      </c>
      <c r="C1269" s="478">
        <v>326878.57</v>
      </c>
      <c r="D1269" s="479">
        <v>200</v>
      </c>
    </row>
    <row r="1270" spans="1:4" x14ac:dyDescent="0.2">
      <c r="A1270" s="728">
        <v>44144</v>
      </c>
      <c r="B1270" s="331">
        <f t="shared" si="10"/>
        <v>293224.96000000002</v>
      </c>
      <c r="C1270" s="478">
        <v>293024.96000000002</v>
      </c>
      <c r="D1270" s="479">
        <v>200</v>
      </c>
    </row>
    <row r="1271" spans="1:4" x14ac:dyDescent="0.2">
      <c r="A1271" s="728">
        <v>44145</v>
      </c>
      <c r="B1271" s="331">
        <f t="shared" si="10"/>
        <v>297955.08</v>
      </c>
      <c r="C1271" s="478">
        <v>297755.08</v>
      </c>
      <c r="D1271" s="479">
        <v>200</v>
      </c>
    </row>
    <row r="1272" spans="1:4" x14ac:dyDescent="0.2">
      <c r="A1272" s="728">
        <v>44146</v>
      </c>
      <c r="B1272" s="331">
        <f t="shared" si="10"/>
        <v>297955</v>
      </c>
      <c r="C1272" s="478">
        <v>297755</v>
      </c>
      <c r="D1272" s="479">
        <v>200</v>
      </c>
    </row>
    <row r="1273" spans="1:4" x14ac:dyDescent="0.2">
      <c r="A1273" s="728">
        <v>44147</v>
      </c>
      <c r="B1273" s="331">
        <f t="shared" si="10"/>
        <v>301097.59000000003</v>
      </c>
      <c r="C1273" s="478">
        <v>300897.59000000003</v>
      </c>
      <c r="D1273" s="479">
        <v>200</v>
      </c>
    </row>
    <row r="1274" spans="1:4" x14ac:dyDescent="0.2">
      <c r="A1274" s="728">
        <v>44148</v>
      </c>
      <c r="B1274" s="331">
        <f t="shared" si="10"/>
        <v>300720.71000000002</v>
      </c>
      <c r="C1274" s="478">
        <v>300520.71000000002</v>
      </c>
      <c r="D1274" s="479">
        <v>200</v>
      </c>
    </row>
    <row r="1275" spans="1:4" x14ac:dyDescent="0.2">
      <c r="A1275" s="728">
        <v>44151</v>
      </c>
      <c r="B1275" s="331">
        <f t="shared" si="10"/>
        <v>300721</v>
      </c>
      <c r="C1275" s="478">
        <v>300521</v>
      </c>
      <c r="D1275" s="479">
        <v>200</v>
      </c>
    </row>
    <row r="1276" spans="1:4" x14ac:dyDescent="0.2">
      <c r="A1276" s="728">
        <v>44152</v>
      </c>
      <c r="B1276" s="331">
        <f t="shared" si="10"/>
        <v>300721</v>
      </c>
      <c r="C1276" s="478">
        <v>300521</v>
      </c>
      <c r="D1276" s="479">
        <v>200</v>
      </c>
    </row>
    <row r="1277" spans="1:4" x14ac:dyDescent="0.2">
      <c r="A1277" s="728">
        <v>44153</v>
      </c>
      <c r="B1277" s="331">
        <f t="shared" si="10"/>
        <v>298371.37</v>
      </c>
      <c r="C1277" s="478">
        <v>298171.37</v>
      </c>
      <c r="D1277" s="479">
        <v>200</v>
      </c>
    </row>
    <row r="1278" spans="1:4" x14ac:dyDescent="0.2">
      <c r="A1278" s="728">
        <v>44154</v>
      </c>
      <c r="B1278" s="331">
        <f t="shared" si="10"/>
        <v>298371</v>
      </c>
      <c r="C1278" s="478">
        <v>298171</v>
      </c>
      <c r="D1278" s="479">
        <v>200</v>
      </c>
    </row>
    <row r="1279" spans="1:4" x14ac:dyDescent="0.2">
      <c r="A1279" s="728">
        <v>44155</v>
      </c>
      <c r="B1279" s="331">
        <f t="shared" si="10"/>
        <v>297912.75</v>
      </c>
      <c r="C1279" s="478">
        <v>297712.75</v>
      </c>
      <c r="D1279" s="479">
        <v>200</v>
      </c>
    </row>
    <row r="1280" spans="1:4" x14ac:dyDescent="0.2">
      <c r="A1280" s="728">
        <v>44158</v>
      </c>
      <c r="B1280" s="331">
        <f t="shared" si="10"/>
        <v>260100.75</v>
      </c>
      <c r="C1280" s="478">
        <v>259900.75</v>
      </c>
      <c r="D1280" s="479">
        <v>200</v>
      </c>
    </row>
    <row r="1281" spans="1:4" x14ac:dyDescent="0.2">
      <c r="A1281" s="728">
        <v>44159</v>
      </c>
      <c r="B1281" s="331">
        <f t="shared" si="10"/>
        <v>260101</v>
      </c>
      <c r="C1281" s="478">
        <v>259901</v>
      </c>
      <c r="D1281" s="479">
        <v>200</v>
      </c>
    </row>
    <row r="1282" spans="1:4" x14ac:dyDescent="0.2">
      <c r="A1282" s="728">
        <v>44160</v>
      </c>
      <c r="B1282" s="331">
        <f t="shared" si="10"/>
        <v>259952.43</v>
      </c>
      <c r="C1282" s="478">
        <v>259752.43</v>
      </c>
      <c r="D1282" s="479">
        <v>200</v>
      </c>
    </row>
    <row r="1283" spans="1:4" x14ac:dyDescent="0.2">
      <c r="A1283" s="728">
        <v>44161</v>
      </c>
      <c r="B1283" s="331">
        <f t="shared" si="10"/>
        <v>259952</v>
      </c>
      <c r="C1283" s="478">
        <v>259752</v>
      </c>
      <c r="D1283" s="479">
        <v>200</v>
      </c>
    </row>
    <row r="1284" spans="1:4" x14ac:dyDescent="0.2">
      <c r="A1284" s="728">
        <v>44162</v>
      </c>
      <c r="B1284" s="331">
        <f t="shared" si="10"/>
        <v>261011.41</v>
      </c>
      <c r="C1284" s="478">
        <v>260811.41</v>
      </c>
      <c r="D1284" s="479">
        <v>200</v>
      </c>
    </row>
    <row r="1285" spans="1:4" x14ac:dyDescent="0.2">
      <c r="A1285" s="728">
        <v>44165</v>
      </c>
      <c r="B1285" s="331">
        <f t="shared" si="10"/>
        <v>256570.76</v>
      </c>
      <c r="C1285" s="478">
        <v>256370.76</v>
      </c>
      <c r="D1285" s="479">
        <v>200</v>
      </c>
    </row>
    <row r="1286" spans="1:4" x14ac:dyDescent="0.2">
      <c r="A1286" s="728">
        <v>44166</v>
      </c>
      <c r="B1286" s="331">
        <f t="shared" si="10"/>
        <v>256571</v>
      </c>
      <c r="C1286" s="478">
        <v>256371</v>
      </c>
      <c r="D1286" s="479">
        <v>200</v>
      </c>
    </row>
    <row r="1287" spans="1:4" x14ac:dyDescent="0.2">
      <c r="A1287" s="728">
        <v>44167</v>
      </c>
      <c r="B1287" s="331">
        <f t="shared" si="10"/>
        <v>343824.57</v>
      </c>
      <c r="C1287" s="478">
        <v>343624.57</v>
      </c>
      <c r="D1287" s="479">
        <v>200</v>
      </c>
    </row>
    <row r="1288" spans="1:4" x14ac:dyDescent="0.2">
      <c r="A1288" s="728">
        <v>44168</v>
      </c>
      <c r="B1288" s="331">
        <f t="shared" si="10"/>
        <v>348428.77</v>
      </c>
      <c r="C1288" s="478">
        <v>348228.77</v>
      </c>
      <c r="D1288" s="479">
        <v>200</v>
      </c>
    </row>
    <row r="1289" spans="1:4" x14ac:dyDescent="0.2">
      <c r="A1289" s="728">
        <v>44169</v>
      </c>
      <c r="B1289" s="331">
        <f t="shared" si="10"/>
        <v>348429</v>
      </c>
      <c r="C1289" s="478">
        <v>348229</v>
      </c>
      <c r="D1289" s="479">
        <v>200</v>
      </c>
    </row>
    <row r="1290" spans="1:4" x14ac:dyDescent="0.2">
      <c r="A1290" s="728">
        <v>44172</v>
      </c>
      <c r="B1290" s="331">
        <f t="shared" si="10"/>
        <v>313593.81</v>
      </c>
      <c r="C1290" s="478">
        <v>313393.81</v>
      </c>
      <c r="D1290" s="479">
        <v>200</v>
      </c>
    </row>
    <row r="1291" spans="1:4" x14ac:dyDescent="0.2">
      <c r="A1291" s="728">
        <v>44173</v>
      </c>
      <c r="B1291" s="331">
        <f t="shared" si="10"/>
        <v>320775.28999999998</v>
      </c>
      <c r="C1291" s="478">
        <v>320575.28999999998</v>
      </c>
      <c r="D1291" s="479">
        <v>200</v>
      </c>
    </row>
    <row r="1292" spans="1:4" x14ac:dyDescent="0.2">
      <c r="A1292" s="728">
        <v>44174</v>
      </c>
      <c r="B1292" s="331">
        <f t="shared" si="10"/>
        <v>321115.28999999998</v>
      </c>
      <c r="C1292" s="478">
        <v>320915.28999999998</v>
      </c>
      <c r="D1292" s="479">
        <v>200</v>
      </c>
    </row>
    <row r="1293" spans="1:4" x14ac:dyDescent="0.2">
      <c r="A1293" s="728">
        <v>44175</v>
      </c>
      <c r="B1293" s="331">
        <f t="shared" si="10"/>
        <v>314719.49</v>
      </c>
      <c r="C1293" s="478">
        <v>314519.49</v>
      </c>
      <c r="D1293" s="479">
        <v>200</v>
      </c>
    </row>
    <row r="1294" spans="1:4" x14ac:dyDescent="0.2">
      <c r="A1294" s="728">
        <v>44176</v>
      </c>
      <c r="B1294" s="331">
        <f t="shared" si="10"/>
        <v>317009.81</v>
      </c>
      <c r="C1294" s="478">
        <v>316809.81</v>
      </c>
      <c r="D1294" s="479">
        <v>200</v>
      </c>
    </row>
    <row r="1295" spans="1:4" x14ac:dyDescent="0.2">
      <c r="A1295" s="728">
        <v>44179</v>
      </c>
      <c r="B1295" s="331">
        <f t="shared" si="10"/>
        <v>316409.81</v>
      </c>
      <c r="C1295" s="478">
        <v>316209.81</v>
      </c>
      <c r="D1295" s="479">
        <v>200</v>
      </c>
    </row>
    <row r="1296" spans="1:4" x14ac:dyDescent="0.2">
      <c r="A1296" s="728">
        <v>44180</v>
      </c>
      <c r="B1296" s="331">
        <f t="shared" si="10"/>
        <v>316462.65000000002</v>
      </c>
      <c r="C1296" s="478">
        <v>316262.65000000002</v>
      </c>
      <c r="D1296" s="479">
        <v>200</v>
      </c>
    </row>
    <row r="1297" spans="1:4" x14ac:dyDescent="0.2">
      <c r="A1297" s="728">
        <v>44181</v>
      </c>
      <c r="B1297" s="331">
        <f t="shared" si="10"/>
        <v>337790.61</v>
      </c>
      <c r="C1297" s="478">
        <v>337590.61</v>
      </c>
      <c r="D1297" s="479">
        <v>200</v>
      </c>
    </row>
    <row r="1298" spans="1:4" x14ac:dyDescent="0.2">
      <c r="A1298" s="728">
        <v>44182</v>
      </c>
      <c r="B1298" s="331">
        <f t="shared" si="10"/>
        <v>337791</v>
      </c>
      <c r="C1298" s="478">
        <v>337591</v>
      </c>
      <c r="D1298" s="479">
        <v>200</v>
      </c>
    </row>
    <row r="1299" spans="1:4" x14ac:dyDescent="0.2">
      <c r="A1299" s="728">
        <v>44183</v>
      </c>
      <c r="B1299" s="331">
        <f t="shared" si="10"/>
        <v>337791</v>
      </c>
      <c r="C1299" s="478">
        <v>337591</v>
      </c>
      <c r="D1299" s="479">
        <v>200</v>
      </c>
    </row>
    <row r="1300" spans="1:4" x14ac:dyDescent="0.2">
      <c r="A1300" s="728">
        <v>44186</v>
      </c>
      <c r="B1300" s="331">
        <f t="shared" si="10"/>
        <v>304627.44</v>
      </c>
      <c r="C1300" s="478">
        <v>304427.44</v>
      </c>
      <c r="D1300" s="479">
        <v>200</v>
      </c>
    </row>
    <row r="1301" spans="1:4" x14ac:dyDescent="0.2">
      <c r="A1301" s="728">
        <v>44187</v>
      </c>
      <c r="B1301" s="331">
        <f t="shared" si="10"/>
        <v>304802.88</v>
      </c>
      <c r="C1301" s="478">
        <v>304602.88</v>
      </c>
      <c r="D1301" s="479">
        <v>200</v>
      </c>
    </row>
    <row r="1302" spans="1:4" x14ac:dyDescent="0.2">
      <c r="A1302" s="728">
        <v>44188</v>
      </c>
      <c r="B1302" s="331">
        <f t="shared" si="10"/>
        <v>304803</v>
      </c>
      <c r="C1302" s="478">
        <v>304603</v>
      </c>
      <c r="D1302" s="479">
        <v>200</v>
      </c>
    </row>
    <row r="1303" spans="1:4" x14ac:dyDescent="0.2">
      <c r="A1303" s="728">
        <v>44189</v>
      </c>
      <c r="B1303" s="331">
        <f t="shared" si="10"/>
        <v>338461.96</v>
      </c>
      <c r="C1303" s="478">
        <v>338261.96</v>
      </c>
      <c r="D1303" s="479">
        <v>200</v>
      </c>
    </row>
    <row r="1304" spans="1:4" x14ac:dyDescent="0.2">
      <c r="A1304" s="728">
        <v>44190</v>
      </c>
      <c r="B1304" s="331">
        <f t="shared" si="10"/>
        <v>338462</v>
      </c>
      <c r="C1304" s="478">
        <v>338262</v>
      </c>
      <c r="D1304" s="479">
        <v>200</v>
      </c>
    </row>
    <row r="1305" spans="1:4" x14ac:dyDescent="0.2">
      <c r="A1305" s="728">
        <v>44193</v>
      </c>
      <c r="B1305" s="331">
        <f t="shared" si="10"/>
        <v>373533.96</v>
      </c>
      <c r="C1305" s="478">
        <v>373333.96</v>
      </c>
      <c r="D1305" s="479">
        <v>200</v>
      </c>
    </row>
    <row r="1306" spans="1:4" x14ac:dyDescent="0.2">
      <c r="A1306" s="728">
        <v>44194</v>
      </c>
      <c r="B1306" s="331">
        <f t="shared" si="10"/>
        <v>373168.21</v>
      </c>
      <c r="C1306" s="478">
        <v>372968.21</v>
      </c>
      <c r="D1306" s="479">
        <v>200</v>
      </c>
    </row>
    <row r="1307" spans="1:4" x14ac:dyDescent="0.2">
      <c r="A1307" s="728">
        <v>44195</v>
      </c>
      <c r="B1307" s="331">
        <f t="shared" si="10"/>
        <v>375552.7</v>
      </c>
      <c r="C1307" s="478">
        <v>375352.7</v>
      </c>
      <c r="D1307" s="479">
        <v>200</v>
      </c>
    </row>
    <row r="1308" spans="1:4" x14ac:dyDescent="0.2">
      <c r="A1308" s="728">
        <v>44196</v>
      </c>
      <c r="B1308" s="331">
        <f t="shared" si="10"/>
        <v>397543.49</v>
      </c>
      <c r="C1308" s="478">
        <v>397343.49</v>
      </c>
      <c r="D1308" s="479">
        <v>200</v>
      </c>
    </row>
    <row r="1309" spans="1:4" x14ac:dyDescent="0.2">
      <c r="A1309" s="728">
        <v>44197</v>
      </c>
      <c r="B1309" s="331">
        <f t="shared" si="10"/>
        <v>397543</v>
      </c>
      <c r="C1309" s="478">
        <v>397343</v>
      </c>
      <c r="D1309" s="479">
        <v>200</v>
      </c>
    </row>
    <row r="1310" spans="1:4" x14ac:dyDescent="0.2">
      <c r="A1310" s="728">
        <v>44200</v>
      </c>
      <c r="B1310" s="331">
        <f t="shared" si="10"/>
        <v>380539.51</v>
      </c>
      <c r="C1310" s="478">
        <v>380339.51</v>
      </c>
      <c r="D1310" s="479">
        <v>200</v>
      </c>
    </row>
    <row r="1311" spans="1:4" x14ac:dyDescent="0.2">
      <c r="A1311" s="728">
        <v>44201</v>
      </c>
      <c r="B1311" s="331">
        <f t="shared" si="10"/>
        <v>349091.91</v>
      </c>
      <c r="C1311" s="478">
        <v>348891.91</v>
      </c>
      <c r="D1311" s="479">
        <v>200</v>
      </c>
    </row>
    <row r="1312" spans="1:4" x14ac:dyDescent="0.2">
      <c r="A1312" s="728">
        <v>44202</v>
      </c>
      <c r="B1312" s="331">
        <f t="shared" si="10"/>
        <v>349092</v>
      </c>
      <c r="C1312" s="478">
        <v>348892</v>
      </c>
      <c r="D1312" s="479">
        <v>200</v>
      </c>
    </row>
    <row r="1313" spans="1:4" x14ac:dyDescent="0.2">
      <c r="A1313" s="728">
        <v>44203</v>
      </c>
      <c r="B1313" s="331">
        <f t="shared" si="10"/>
        <v>409281.75</v>
      </c>
      <c r="C1313" s="478">
        <v>409081.75</v>
      </c>
      <c r="D1313" s="479">
        <v>200</v>
      </c>
    </row>
    <row r="1314" spans="1:4" x14ac:dyDescent="0.2">
      <c r="A1314" s="728">
        <v>44204</v>
      </c>
      <c r="B1314" s="331">
        <f t="shared" si="10"/>
        <v>408971.69</v>
      </c>
      <c r="C1314" s="478">
        <v>408771.69</v>
      </c>
      <c r="D1314" s="479">
        <v>200</v>
      </c>
    </row>
    <row r="1315" spans="1:4" x14ac:dyDescent="0.2">
      <c r="A1315" s="728">
        <v>44207</v>
      </c>
      <c r="B1315" s="331">
        <f t="shared" si="10"/>
        <v>408739.83</v>
      </c>
      <c r="C1315" s="478">
        <v>408539.83</v>
      </c>
      <c r="D1315" s="479">
        <v>200</v>
      </c>
    </row>
    <row r="1316" spans="1:4" x14ac:dyDescent="0.2">
      <c r="A1316" s="728">
        <v>44208</v>
      </c>
      <c r="B1316" s="331">
        <f t="shared" si="10"/>
        <v>401650.97</v>
      </c>
      <c r="C1316" s="478">
        <v>401450.97</v>
      </c>
      <c r="D1316" s="479">
        <v>200</v>
      </c>
    </row>
    <row r="1317" spans="1:4" x14ac:dyDescent="0.2">
      <c r="A1317" s="728">
        <v>44209</v>
      </c>
      <c r="B1317" s="331">
        <f t="shared" si="10"/>
        <v>413709.67</v>
      </c>
      <c r="C1317" s="478">
        <v>413509.67</v>
      </c>
      <c r="D1317" s="479">
        <v>200</v>
      </c>
    </row>
    <row r="1318" spans="1:4" x14ac:dyDescent="0.2">
      <c r="A1318" s="728">
        <v>44210</v>
      </c>
      <c r="B1318" s="331">
        <f t="shared" si="10"/>
        <v>412321.56</v>
      </c>
      <c r="C1318" s="478">
        <v>412121.56</v>
      </c>
      <c r="D1318" s="479">
        <v>200</v>
      </c>
    </row>
    <row r="1319" spans="1:4" x14ac:dyDescent="0.2">
      <c r="A1319" s="728">
        <v>44211</v>
      </c>
      <c r="B1319" s="331">
        <f t="shared" si="10"/>
        <v>412384.91</v>
      </c>
      <c r="C1319" s="478">
        <v>412184.91</v>
      </c>
      <c r="D1319" s="479">
        <v>200</v>
      </c>
    </row>
    <row r="1320" spans="1:4" x14ac:dyDescent="0.2">
      <c r="A1320" s="728">
        <v>44214</v>
      </c>
      <c r="B1320" s="331">
        <f t="shared" si="10"/>
        <v>412385</v>
      </c>
      <c r="C1320" s="478">
        <v>412185</v>
      </c>
      <c r="D1320" s="479">
        <v>200</v>
      </c>
    </row>
    <row r="1321" spans="1:4" x14ac:dyDescent="0.2">
      <c r="A1321" s="728">
        <v>44215</v>
      </c>
      <c r="B1321" s="331">
        <f t="shared" si="10"/>
        <v>417699.08</v>
      </c>
      <c r="C1321" s="478">
        <v>417499.08</v>
      </c>
      <c r="D1321" s="479">
        <v>200</v>
      </c>
    </row>
    <row r="1322" spans="1:4" x14ac:dyDescent="0.2">
      <c r="A1322" s="728">
        <v>44216</v>
      </c>
      <c r="B1322" s="364">
        <f t="shared" si="10"/>
        <v>417952.08</v>
      </c>
      <c r="C1322" s="478">
        <v>417752.08</v>
      </c>
      <c r="D1322" s="479">
        <v>200</v>
      </c>
    </row>
    <row r="1323" spans="1:4" x14ac:dyDescent="0.2">
      <c r="A1323" s="728">
        <v>44217</v>
      </c>
      <c r="B1323" s="331">
        <f t="shared" si="10"/>
        <v>402996.41</v>
      </c>
      <c r="C1323" s="478">
        <v>402796.41</v>
      </c>
      <c r="D1323" s="479">
        <v>200</v>
      </c>
    </row>
    <row r="1324" spans="1:4" x14ac:dyDescent="0.2">
      <c r="A1324" s="728">
        <v>44218</v>
      </c>
      <c r="B1324" s="331">
        <f t="shared" si="10"/>
        <v>402527.5</v>
      </c>
      <c r="C1324" s="478">
        <v>402327.5</v>
      </c>
      <c r="D1324" s="479">
        <v>200</v>
      </c>
    </row>
    <row r="1325" spans="1:4" x14ac:dyDescent="0.2">
      <c r="A1325" s="728">
        <v>44221</v>
      </c>
      <c r="B1325" s="331">
        <f t="shared" si="10"/>
        <v>402528</v>
      </c>
      <c r="C1325" s="478">
        <v>402328</v>
      </c>
      <c r="D1325" s="479">
        <v>200</v>
      </c>
    </row>
    <row r="1326" spans="1:4" x14ac:dyDescent="0.2">
      <c r="A1326" s="728">
        <v>44222</v>
      </c>
      <c r="B1326" s="331">
        <f t="shared" si="10"/>
        <v>399742.18</v>
      </c>
      <c r="C1326" s="478">
        <v>399542.18</v>
      </c>
      <c r="D1326" s="479">
        <v>200</v>
      </c>
    </row>
    <row r="1327" spans="1:4" x14ac:dyDescent="0.2">
      <c r="A1327" s="728">
        <v>44223</v>
      </c>
      <c r="B1327" s="331">
        <f t="shared" ref="B1327:B1390" si="11">C1327+D1327</f>
        <v>399886.18</v>
      </c>
      <c r="C1327" s="478">
        <v>399686.18</v>
      </c>
      <c r="D1327" s="479">
        <v>200</v>
      </c>
    </row>
    <row r="1328" spans="1:4" x14ac:dyDescent="0.2">
      <c r="A1328" s="728">
        <v>44224</v>
      </c>
      <c r="B1328" s="331">
        <f t="shared" si="11"/>
        <v>393628.47</v>
      </c>
      <c r="C1328" s="478">
        <v>393428.47</v>
      </c>
      <c r="D1328" s="479">
        <v>200</v>
      </c>
    </row>
    <row r="1329" spans="1:4" x14ac:dyDescent="0.2">
      <c r="A1329" s="728">
        <v>44225</v>
      </c>
      <c r="B1329" s="331">
        <f t="shared" si="11"/>
        <v>393628</v>
      </c>
      <c r="C1329" s="478">
        <v>393428</v>
      </c>
      <c r="D1329" s="479">
        <v>200</v>
      </c>
    </row>
    <row r="1330" spans="1:4" x14ac:dyDescent="0.2">
      <c r="A1330" s="728">
        <v>44228</v>
      </c>
      <c r="B1330" s="331">
        <f t="shared" si="11"/>
        <v>393628</v>
      </c>
      <c r="C1330" s="478">
        <v>393428</v>
      </c>
      <c r="D1330" s="479">
        <v>200</v>
      </c>
    </row>
    <row r="1331" spans="1:4" x14ac:dyDescent="0.2">
      <c r="A1331" s="728">
        <v>44229</v>
      </c>
      <c r="B1331" s="331">
        <f t="shared" si="11"/>
        <v>359326.4</v>
      </c>
      <c r="C1331" s="478">
        <v>359126.4</v>
      </c>
      <c r="D1331" s="479">
        <v>200</v>
      </c>
    </row>
    <row r="1332" spans="1:4" x14ac:dyDescent="0.2">
      <c r="A1332" s="728">
        <v>44230</v>
      </c>
      <c r="B1332" s="331">
        <f t="shared" si="11"/>
        <v>359521.7</v>
      </c>
      <c r="C1332" s="478">
        <v>359321.7</v>
      </c>
      <c r="D1332" s="479">
        <v>200</v>
      </c>
    </row>
    <row r="1333" spans="1:4" x14ac:dyDescent="0.2">
      <c r="A1333" s="728">
        <v>44231</v>
      </c>
      <c r="B1333" s="331">
        <f t="shared" si="11"/>
        <v>359522</v>
      </c>
      <c r="C1333" s="478">
        <v>359322</v>
      </c>
      <c r="D1333" s="479">
        <v>200</v>
      </c>
    </row>
    <row r="1334" spans="1:4" x14ac:dyDescent="0.2">
      <c r="A1334" s="728">
        <v>44232</v>
      </c>
      <c r="B1334" s="331">
        <f t="shared" si="11"/>
        <v>347055.28</v>
      </c>
      <c r="C1334" s="478">
        <v>346855.28</v>
      </c>
      <c r="D1334" s="479">
        <v>200</v>
      </c>
    </row>
    <row r="1335" spans="1:4" x14ac:dyDescent="0.2">
      <c r="A1335" s="728">
        <v>44235</v>
      </c>
      <c r="B1335" s="331">
        <f t="shared" si="11"/>
        <v>369629.13</v>
      </c>
      <c r="C1335" s="478">
        <v>369429.13</v>
      </c>
      <c r="D1335" s="479">
        <v>200</v>
      </c>
    </row>
    <row r="1336" spans="1:4" x14ac:dyDescent="0.2">
      <c r="A1336" s="728">
        <v>44236</v>
      </c>
      <c r="B1336" s="331">
        <f t="shared" si="11"/>
        <v>382278.77</v>
      </c>
      <c r="C1336" s="478">
        <v>382078.77</v>
      </c>
      <c r="D1336" s="479">
        <v>200</v>
      </c>
    </row>
    <row r="1337" spans="1:4" x14ac:dyDescent="0.2">
      <c r="A1337" s="728">
        <v>44237</v>
      </c>
      <c r="B1337" s="331">
        <f t="shared" si="11"/>
        <v>382279</v>
      </c>
      <c r="C1337" s="478">
        <v>382079</v>
      </c>
      <c r="D1337" s="479">
        <v>200</v>
      </c>
    </row>
    <row r="1338" spans="1:4" x14ac:dyDescent="0.2">
      <c r="A1338" s="728">
        <v>44238</v>
      </c>
      <c r="B1338" s="331">
        <f t="shared" si="11"/>
        <v>378310.6</v>
      </c>
      <c r="C1338" s="478">
        <v>378110.6</v>
      </c>
      <c r="D1338" s="479">
        <v>200</v>
      </c>
    </row>
    <row r="1339" spans="1:4" x14ac:dyDescent="0.2">
      <c r="A1339" s="728">
        <v>44239</v>
      </c>
      <c r="B1339" s="331">
        <f t="shared" si="11"/>
        <v>378369.91</v>
      </c>
      <c r="C1339" s="478">
        <v>378169.91</v>
      </c>
      <c r="D1339" s="479">
        <v>200</v>
      </c>
    </row>
    <row r="1340" spans="1:4" x14ac:dyDescent="0.2">
      <c r="A1340" s="728">
        <v>44242</v>
      </c>
      <c r="B1340" s="331">
        <f t="shared" si="11"/>
        <v>378370</v>
      </c>
      <c r="C1340" s="478">
        <v>378170</v>
      </c>
      <c r="D1340" s="479">
        <v>200</v>
      </c>
    </row>
    <row r="1341" spans="1:4" x14ac:dyDescent="0.2">
      <c r="A1341" s="728">
        <v>44243</v>
      </c>
      <c r="B1341" s="364">
        <f t="shared" si="11"/>
        <v>345442.81</v>
      </c>
      <c r="C1341" s="478">
        <v>345242.81</v>
      </c>
      <c r="D1341" s="479">
        <v>200</v>
      </c>
    </row>
    <row r="1342" spans="1:4" x14ac:dyDescent="0.2">
      <c r="A1342" s="728">
        <v>44244</v>
      </c>
      <c r="B1342" s="331">
        <f t="shared" si="11"/>
        <v>345443</v>
      </c>
      <c r="C1342" s="478">
        <v>345243</v>
      </c>
      <c r="D1342" s="479">
        <v>200</v>
      </c>
    </row>
    <row r="1343" spans="1:4" x14ac:dyDescent="0.2">
      <c r="A1343" s="728">
        <v>44245</v>
      </c>
      <c r="B1343" s="331">
        <f t="shared" si="11"/>
        <v>345443</v>
      </c>
      <c r="C1343" s="478">
        <v>345243</v>
      </c>
      <c r="D1343" s="479">
        <v>200</v>
      </c>
    </row>
    <row r="1344" spans="1:4" x14ac:dyDescent="0.2">
      <c r="A1344" s="728">
        <v>44246</v>
      </c>
      <c r="B1344" s="331">
        <f t="shared" si="11"/>
        <v>364859.97</v>
      </c>
      <c r="C1344" s="478">
        <v>364659.97</v>
      </c>
      <c r="D1344" s="479">
        <v>200</v>
      </c>
    </row>
    <row r="1345" spans="1:4" x14ac:dyDescent="0.2">
      <c r="A1345" s="728">
        <v>44249</v>
      </c>
      <c r="B1345" s="331">
        <f t="shared" si="11"/>
        <v>368452.97</v>
      </c>
      <c r="C1345" s="478">
        <v>368252.97</v>
      </c>
      <c r="D1345" s="479">
        <v>200</v>
      </c>
    </row>
    <row r="1346" spans="1:4" x14ac:dyDescent="0.2">
      <c r="A1346" s="728">
        <v>44250</v>
      </c>
      <c r="B1346" s="331">
        <f t="shared" si="11"/>
        <v>368407.65</v>
      </c>
      <c r="C1346" s="478">
        <v>368207.65</v>
      </c>
      <c r="D1346" s="479">
        <v>200</v>
      </c>
    </row>
    <row r="1347" spans="1:4" x14ac:dyDescent="0.2">
      <c r="A1347" s="728">
        <v>44251</v>
      </c>
      <c r="B1347" s="331">
        <f t="shared" si="11"/>
        <v>373249.01</v>
      </c>
      <c r="C1347" s="478">
        <v>373049.01</v>
      </c>
      <c r="D1347" s="479">
        <v>200</v>
      </c>
    </row>
    <row r="1348" spans="1:4" x14ac:dyDescent="0.2">
      <c r="A1348" s="728">
        <v>44252</v>
      </c>
      <c r="B1348" s="331">
        <f t="shared" si="11"/>
        <v>373249.01</v>
      </c>
      <c r="C1348" s="478">
        <v>373049.01</v>
      </c>
      <c r="D1348" s="479">
        <v>200</v>
      </c>
    </row>
    <row r="1349" spans="1:4" x14ac:dyDescent="0.2">
      <c r="A1349" s="728">
        <v>44253</v>
      </c>
      <c r="B1349" s="331">
        <f t="shared" si="11"/>
        <v>404359.4</v>
      </c>
      <c r="C1349" s="478">
        <v>404159.4</v>
      </c>
      <c r="D1349" s="479">
        <v>200</v>
      </c>
    </row>
    <row r="1350" spans="1:4" x14ac:dyDescent="0.2">
      <c r="A1350" s="728">
        <v>44256</v>
      </c>
      <c r="B1350" s="331">
        <f t="shared" si="11"/>
        <v>398860.85</v>
      </c>
      <c r="C1350" s="478">
        <v>398660.85</v>
      </c>
      <c r="D1350" s="479">
        <v>200</v>
      </c>
    </row>
    <row r="1351" spans="1:4" x14ac:dyDescent="0.2">
      <c r="A1351" s="728">
        <v>44257</v>
      </c>
      <c r="B1351" s="331">
        <f t="shared" si="11"/>
        <v>365079.52</v>
      </c>
      <c r="C1351" s="478">
        <v>364879.52</v>
      </c>
      <c r="D1351" s="479">
        <v>200</v>
      </c>
    </row>
    <row r="1352" spans="1:4" x14ac:dyDescent="0.2">
      <c r="A1352" s="728">
        <v>44258</v>
      </c>
      <c r="B1352" s="331">
        <f t="shared" si="11"/>
        <v>406124.9</v>
      </c>
      <c r="C1352" s="478">
        <v>405924.9</v>
      </c>
      <c r="D1352" s="479">
        <v>200</v>
      </c>
    </row>
    <row r="1353" spans="1:4" x14ac:dyDescent="0.2">
      <c r="A1353" s="728">
        <v>44259</v>
      </c>
      <c r="B1353" s="331">
        <f t="shared" si="11"/>
        <v>409953.76</v>
      </c>
      <c r="C1353" s="478">
        <v>409753.76</v>
      </c>
      <c r="D1353" s="479">
        <v>200</v>
      </c>
    </row>
    <row r="1354" spans="1:4" x14ac:dyDescent="0.2">
      <c r="A1354" s="728">
        <v>44260</v>
      </c>
      <c r="B1354" s="331">
        <f t="shared" si="11"/>
        <v>400983.29</v>
      </c>
      <c r="C1354" s="478">
        <v>400783.29</v>
      </c>
      <c r="D1354" s="479">
        <v>200</v>
      </c>
    </row>
    <row r="1355" spans="1:4" x14ac:dyDescent="0.2">
      <c r="A1355" s="728">
        <v>44263</v>
      </c>
      <c r="B1355" s="331">
        <f t="shared" si="11"/>
        <v>400983</v>
      </c>
      <c r="C1355" s="478">
        <v>400783</v>
      </c>
      <c r="D1355" s="479">
        <v>200</v>
      </c>
    </row>
    <row r="1356" spans="1:4" x14ac:dyDescent="0.2">
      <c r="A1356" s="728">
        <v>44264</v>
      </c>
      <c r="B1356" s="331">
        <f t="shared" si="11"/>
        <v>399908.16</v>
      </c>
      <c r="C1356" s="478">
        <v>399708.15999999997</v>
      </c>
      <c r="D1356" s="479">
        <v>200</v>
      </c>
    </row>
    <row r="1357" spans="1:4" x14ac:dyDescent="0.2">
      <c r="A1357" s="728">
        <v>44265</v>
      </c>
      <c r="B1357" s="331">
        <f t="shared" si="11"/>
        <v>399908</v>
      </c>
      <c r="C1357" s="478">
        <v>399708</v>
      </c>
      <c r="D1357" s="479">
        <v>200</v>
      </c>
    </row>
    <row r="1358" spans="1:4" x14ac:dyDescent="0.2">
      <c r="A1358" s="728">
        <v>44266</v>
      </c>
      <c r="B1358" s="331">
        <f t="shared" si="11"/>
        <v>399908</v>
      </c>
      <c r="C1358" s="478">
        <v>399708</v>
      </c>
      <c r="D1358" s="479">
        <v>200</v>
      </c>
    </row>
    <row r="1359" spans="1:4" x14ac:dyDescent="0.2">
      <c r="A1359" s="728">
        <v>44267</v>
      </c>
      <c r="B1359" s="331">
        <f t="shared" si="11"/>
        <v>399766.22</v>
      </c>
      <c r="C1359" s="478">
        <v>399566.22</v>
      </c>
      <c r="D1359" s="479">
        <v>200</v>
      </c>
    </row>
    <row r="1360" spans="1:4" x14ac:dyDescent="0.2">
      <c r="A1360" s="728">
        <v>44270</v>
      </c>
      <c r="B1360" s="331">
        <f t="shared" si="11"/>
        <v>366689.23</v>
      </c>
      <c r="C1360" s="478">
        <v>366489.23</v>
      </c>
      <c r="D1360" s="479">
        <v>200</v>
      </c>
    </row>
    <row r="1361" spans="1:4" x14ac:dyDescent="0.2">
      <c r="A1361" s="728">
        <v>44271</v>
      </c>
      <c r="B1361" s="331">
        <f t="shared" si="11"/>
        <v>392136.38</v>
      </c>
      <c r="C1361" s="478">
        <v>391936.38</v>
      </c>
      <c r="D1361" s="479">
        <v>200</v>
      </c>
    </row>
    <row r="1362" spans="1:4" x14ac:dyDescent="0.2">
      <c r="A1362" s="728">
        <v>44272</v>
      </c>
      <c r="B1362" s="331">
        <f t="shared" si="11"/>
        <v>414771.89</v>
      </c>
      <c r="C1362" s="478">
        <v>414571.89</v>
      </c>
      <c r="D1362" s="479">
        <v>200</v>
      </c>
    </row>
    <row r="1363" spans="1:4" x14ac:dyDescent="0.2">
      <c r="A1363" s="728">
        <v>44273</v>
      </c>
      <c r="B1363" s="331">
        <f t="shared" si="11"/>
        <v>442093.39</v>
      </c>
      <c r="C1363" s="478">
        <v>441893.39</v>
      </c>
      <c r="D1363" s="479">
        <v>200</v>
      </c>
    </row>
    <row r="1364" spans="1:4" x14ac:dyDescent="0.2">
      <c r="A1364" s="728">
        <v>44274</v>
      </c>
      <c r="B1364" s="331">
        <f t="shared" si="11"/>
        <v>439966.74</v>
      </c>
      <c r="C1364" s="478">
        <v>439766.74</v>
      </c>
      <c r="D1364" s="479">
        <v>200</v>
      </c>
    </row>
    <row r="1365" spans="1:4" x14ac:dyDescent="0.2">
      <c r="A1365" s="728">
        <v>44277</v>
      </c>
      <c r="B1365" s="331">
        <f t="shared" si="11"/>
        <v>439966.74</v>
      </c>
      <c r="C1365" s="478">
        <v>439766.74</v>
      </c>
      <c r="D1365" s="479">
        <v>200</v>
      </c>
    </row>
    <row r="1366" spans="1:4" x14ac:dyDescent="0.2">
      <c r="A1366" s="728">
        <v>44278</v>
      </c>
      <c r="B1366" s="331">
        <f t="shared" si="11"/>
        <v>439966.74</v>
      </c>
      <c r="C1366" s="478">
        <v>439766.74</v>
      </c>
      <c r="D1366" s="479">
        <v>200</v>
      </c>
    </row>
    <row r="1367" spans="1:4" x14ac:dyDescent="0.2">
      <c r="A1367" s="728">
        <v>44279</v>
      </c>
      <c r="B1367" s="331">
        <f t="shared" si="11"/>
        <v>440251.74</v>
      </c>
      <c r="C1367" s="478">
        <v>440051.74</v>
      </c>
      <c r="D1367" s="479">
        <v>200</v>
      </c>
    </row>
    <row r="1368" spans="1:4" x14ac:dyDescent="0.2">
      <c r="A1368" s="728">
        <v>44280</v>
      </c>
      <c r="B1368" s="331">
        <f t="shared" si="11"/>
        <v>440252</v>
      </c>
      <c r="C1368" s="478">
        <v>440052</v>
      </c>
      <c r="D1368" s="479">
        <v>200</v>
      </c>
    </row>
    <row r="1369" spans="1:4" x14ac:dyDescent="0.2">
      <c r="A1369" s="728">
        <v>44281</v>
      </c>
      <c r="B1369" s="331">
        <f t="shared" si="11"/>
        <v>424641.64</v>
      </c>
      <c r="C1369" s="478">
        <v>424441.64</v>
      </c>
      <c r="D1369" s="479">
        <v>200</v>
      </c>
    </row>
    <row r="1370" spans="1:4" x14ac:dyDescent="0.2">
      <c r="A1370" s="728">
        <v>44284</v>
      </c>
      <c r="B1370" s="331">
        <f t="shared" si="11"/>
        <v>527059.86</v>
      </c>
      <c r="C1370" s="478">
        <v>526859.86</v>
      </c>
      <c r="D1370" s="479">
        <v>200</v>
      </c>
    </row>
    <row r="1371" spans="1:4" x14ac:dyDescent="0.2">
      <c r="A1371" s="728">
        <v>44285</v>
      </c>
      <c r="B1371" s="331">
        <f t="shared" si="11"/>
        <v>552226.89</v>
      </c>
      <c r="C1371" s="478">
        <v>552026.89</v>
      </c>
      <c r="D1371" s="479">
        <v>200</v>
      </c>
    </row>
    <row r="1372" spans="1:4" x14ac:dyDescent="0.2">
      <c r="A1372" s="728">
        <v>44286</v>
      </c>
      <c r="B1372" s="331">
        <f t="shared" si="11"/>
        <v>552439.89</v>
      </c>
      <c r="C1372" s="478">
        <v>552239.89</v>
      </c>
      <c r="D1372" s="479">
        <v>200</v>
      </c>
    </row>
    <row r="1373" spans="1:4" x14ac:dyDescent="0.2">
      <c r="A1373" s="728">
        <v>44287</v>
      </c>
      <c r="B1373" s="331">
        <f t="shared" si="11"/>
        <v>552439.89</v>
      </c>
      <c r="C1373" s="478">
        <v>552239.89</v>
      </c>
      <c r="D1373" s="479">
        <v>200</v>
      </c>
    </row>
    <row r="1374" spans="1:4" x14ac:dyDescent="0.2">
      <c r="A1374" s="728">
        <v>44288</v>
      </c>
      <c r="B1374" s="331">
        <f t="shared" si="11"/>
        <v>552129.82999999996</v>
      </c>
      <c r="C1374" s="478">
        <v>551929.82999999996</v>
      </c>
      <c r="D1374" s="479">
        <v>200</v>
      </c>
    </row>
    <row r="1375" spans="1:4" x14ac:dyDescent="0.2">
      <c r="A1375" s="728">
        <v>44291</v>
      </c>
      <c r="B1375" s="331">
        <f t="shared" si="11"/>
        <v>552130</v>
      </c>
      <c r="C1375" s="478">
        <v>551930</v>
      </c>
      <c r="D1375" s="479">
        <v>200</v>
      </c>
    </row>
    <row r="1376" spans="1:4" x14ac:dyDescent="0.2">
      <c r="A1376" s="728">
        <v>44292</v>
      </c>
      <c r="B1376" s="331">
        <f t="shared" si="11"/>
        <v>552377.82999999996</v>
      </c>
      <c r="C1376" s="478">
        <v>552177.82999999996</v>
      </c>
      <c r="D1376" s="479">
        <v>200</v>
      </c>
    </row>
    <row r="1377" spans="1:4" x14ac:dyDescent="0.2">
      <c r="A1377" s="728">
        <v>44293</v>
      </c>
      <c r="B1377" s="331">
        <f t="shared" si="11"/>
        <v>552378</v>
      </c>
      <c r="C1377" s="478">
        <v>552178</v>
      </c>
      <c r="D1377" s="479">
        <v>200</v>
      </c>
    </row>
    <row r="1378" spans="1:4" x14ac:dyDescent="0.2">
      <c r="A1378" s="728">
        <v>44294</v>
      </c>
      <c r="B1378" s="364">
        <f t="shared" si="11"/>
        <v>553005.37</v>
      </c>
      <c r="C1378" s="478">
        <v>552805.37</v>
      </c>
      <c r="D1378" s="479">
        <v>200</v>
      </c>
    </row>
    <row r="1379" spans="1:4" x14ac:dyDescent="0.2">
      <c r="A1379" s="728">
        <v>44295</v>
      </c>
      <c r="B1379" s="331">
        <f t="shared" si="11"/>
        <v>553005</v>
      </c>
      <c r="C1379" s="478">
        <v>552805</v>
      </c>
      <c r="D1379" s="479">
        <v>200</v>
      </c>
    </row>
    <row r="1380" spans="1:4" x14ac:dyDescent="0.2">
      <c r="A1380" s="728">
        <v>44298</v>
      </c>
      <c r="B1380" s="331">
        <f t="shared" si="11"/>
        <v>536104.62</v>
      </c>
      <c r="C1380" s="478">
        <v>535904.62</v>
      </c>
      <c r="D1380" s="479">
        <v>200</v>
      </c>
    </row>
    <row r="1381" spans="1:4" x14ac:dyDescent="0.2">
      <c r="A1381" s="728">
        <v>44299</v>
      </c>
      <c r="B1381" s="331">
        <f t="shared" si="11"/>
        <v>503475.62</v>
      </c>
      <c r="C1381" s="478">
        <v>503275.62</v>
      </c>
      <c r="D1381" s="479">
        <v>200</v>
      </c>
    </row>
    <row r="1382" spans="1:4" x14ac:dyDescent="0.2">
      <c r="A1382" s="728">
        <v>44300</v>
      </c>
      <c r="B1382" s="331">
        <f t="shared" si="11"/>
        <v>515272.72</v>
      </c>
      <c r="C1382" s="478">
        <v>515072.72</v>
      </c>
      <c r="D1382" s="479">
        <v>200</v>
      </c>
    </row>
    <row r="1383" spans="1:4" x14ac:dyDescent="0.2">
      <c r="A1383" s="728">
        <v>44301</v>
      </c>
      <c r="B1383" s="331">
        <f t="shared" si="11"/>
        <v>519939.48</v>
      </c>
      <c r="C1383" s="478">
        <v>519739.48</v>
      </c>
      <c r="D1383" s="479">
        <v>200</v>
      </c>
    </row>
    <row r="1384" spans="1:4" x14ac:dyDescent="0.2">
      <c r="A1384" s="728">
        <v>44302</v>
      </c>
      <c r="B1384" s="331">
        <f t="shared" si="11"/>
        <v>518569.61</v>
      </c>
      <c r="C1384" s="478">
        <v>518369.61</v>
      </c>
      <c r="D1384" s="479">
        <v>200</v>
      </c>
    </row>
    <row r="1385" spans="1:4" x14ac:dyDescent="0.2">
      <c r="A1385" s="728">
        <v>44305</v>
      </c>
      <c r="B1385" s="331">
        <f t="shared" si="11"/>
        <v>518755.61</v>
      </c>
      <c r="C1385" s="478">
        <v>518555.61</v>
      </c>
      <c r="D1385" s="479">
        <v>200</v>
      </c>
    </row>
    <row r="1386" spans="1:4" x14ac:dyDescent="0.2">
      <c r="A1386" s="728">
        <v>44306</v>
      </c>
      <c r="B1386" s="331">
        <f t="shared" si="11"/>
        <v>518755.61</v>
      </c>
      <c r="C1386" s="478">
        <v>518555.61</v>
      </c>
      <c r="D1386" s="479">
        <v>200</v>
      </c>
    </row>
    <row r="1387" spans="1:4" x14ac:dyDescent="0.2">
      <c r="A1387" s="728">
        <v>44307</v>
      </c>
      <c r="B1387" s="331">
        <f t="shared" si="11"/>
        <v>518755.61</v>
      </c>
      <c r="C1387" s="478">
        <v>518555.61</v>
      </c>
      <c r="D1387" s="479">
        <v>200</v>
      </c>
    </row>
    <row r="1388" spans="1:4" x14ac:dyDescent="0.2">
      <c r="A1388" s="728">
        <v>44308</v>
      </c>
      <c r="B1388" s="331">
        <f t="shared" si="11"/>
        <v>507528.36</v>
      </c>
      <c r="C1388" s="478">
        <v>507328.36</v>
      </c>
      <c r="D1388" s="479">
        <v>200</v>
      </c>
    </row>
    <row r="1389" spans="1:4" x14ac:dyDescent="0.2">
      <c r="A1389" s="728">
        <v>44309</v>
      </c>
      <c r="B1389" s="331">
        <f t="shared" si="11"/>
        <v>506769.51</v>
      </c>
      <c r="C1389" s="478">
        <v>506569.51</v>
      </c>
      <c r="D1389" s="479">
        <v>200</v>
      </c>
    </row>
    <row r="1390" spans="1:4" x14ac:dyDescent="0.2">
      <c r="A1390" s="728">
        <v>44312</v>
      </c>
      <c r="B1390" s="331">
        <f t="shared" si="11"/>
        <v>506770</v>
      </c>
      <c r="C1390" s="478">
        <v>506570</v>
      </c>
      <c r="D1390" s="479">
        <v>200</v>
      </c>
    </row>
    <row r="1391" spans="1:4" x14ac:dyDescent="0.2">
      <c r="A1391" s="728">
        <v>44313</v>
      </c>
      <c r="B1391" s="331">
        <f t="shared" ref="B1391:B1454" si="12">C1391+D1391</f>
        <v>473061.43</v>
      </c>
      <c r="C1391" s="478">
        <v>472861.43</v>
      </c>
      <c r="D1391" s="479">
        <v>200</v>
      </c>
    </row>
    <row r="1392" spans="1:4" x14ac:dyDescent="0.2">
      <c r="A1392" s="728">
        <v>44314</v>
      </c>
      <c r="B1392" s="331">
        <f t="shared" si="12"/>
        <v>479261.62</v>
      </c>
      <c r="C1392" s="478">
        <v>479061.62</v>
      </c>
      <c r="D1392" s="479">
        <v>200</v>
      </c>
    </row>
    <row r="1393" spans="1:4" x14ac:dyDescent="0.2">
      <c r="A1393" s="728">
        <v>44315</v>
      </c>
      <c r="B1393" s="331">
        <f t="shared" si="12"/>
        <v>478222.46</v>
      </c>
      <c r="C1393" s="478">
        <v>478022.46</v>
      </c>
      <c r="D1393" s="479">
        <v>200</v>
      </c>
    </row>
    <row r="1394" spans="1:4" x14ac:dyDescent="0.2">
      <c r="A1394" s="728">
        <v>44316</v>
      </c>
      <c r="B1394" s="331">
        <f t="shared" si="12"/>
        <v>477922.01</v>
      </c>
      <c r="C1394" s="478">
        <v>477722.01</v>
      </c>
      <c r="D1394" s="479">
        <v>200</v>
      </c>
    </row>
    <row r="1395" spans="1:4" x14ac:dyDescent="0.2">
      <c r="A1395" s="728">
        <v>44319</v>
      </c>
      <c r="B1395" s="331">
        <f t="shared" si="12"/>
        <v>477922.01</v>
      </c>
      <c r="C1395" s="478">
        <v>477722.01</v>
      </c>
      <c r="D1395" s="479">
        <v>200</v>
      </c>
    </row>
    <row r="1396" spans="1:4" x14ac:dyDescent="0.2">
      <c r="A1396" s="728">
        <v>44320</v>
      </c>
      <c r="B1396" s="331">
        <f t="shared" si="12"/>
        <v>477922.01</v>
      </c>
      <c r="C1396" s="478">
        <v>477722.01</v>
      </c>
      <c r="D1396" s="479">
        <v>200</v>
      </c>
    </row>
    <row r="1397" spans="1:4" x14ac:dyDescent="0.2">
      <c r="A1397" s="728">
        <v>44321</v>
      </c>
      <c r="B1397" s="331">
        <f t="shared" si="12"/>
        <v>477922.01</v>
      </c>
      <c r="C1397" s="478">
        <v>477722.01</v>
      </c>
      <c r="D1397" s="479">
        <v>200</v>
      </c>
    </row>
    <row r="1398" spans="1:4" x14ac:dyDescent="0.2">
      <c r="A1398" s="728">
        <v>44322</v>
      </c>
      <c r="B1398" s="331">
        <f t="shared" si="12"/>
        <v>477922.01</v>
      </c>
      <c r="C1398" s="478">
        <v>477722.01</v>
      </c>
      <c r="D1398" s="479">
        <v>200</v>
      </c>
    </row>
    <row r="1399" spans="1:4" x14ac:dyDescent="0.2">
      <c r="A1399" s="728">
        <v>44323</v>
      </c>
      <c r="B1399" s="331">
        <f t="shared" si="12"/>
        <v>463576.89</v>
      </c>
      <c r="C1399" s="478">
        <v>463376.89</v>
      </c>
      <c r="D1399" s="479">
        <v>200</v>
      </c>
    </row>
    <row r="1400" spans="1:4" x14ac:dyDescent="0.2">
      <c r="A1400" s="728">
        <v>44326</v>
      </c>
      <c r="B1400" s="331">
        <f t="shared" si="12"/>
        <v>473954.09</v>
      </c>
      <c r="C1400" s="478">
        <v>473754.09</v>
      </c>
      <c r="D1400" s="479">
        <v>200</v>
      </c>
    </row>
    <row r="1401" spans="1:4" x14ac:dyDescent="0.2">
      <c r="A1401" s="728">
        <v>44327</v>
      </c>
      <c r="B1401" s="331">
        <f t="shared" si="12"/>
        <v>520561.7</v>
      </c>
      <c r="C1401" s="478">
        <v>520361.7</v>
      </c>
      <c r="D1401" s="479">
        <v>200</v>
      </c>
    </row>
    <row r="1402" spans="1:4" x14ac:dyDescent="0.2">
      <c r="A1402" s="728">
        <v>44328</v>
      </c>
      <c r="B1402" s="331">
        <f t="shared" si="12"/>
        <v>520562</v>
      </c>
      <c r="C1402" s="478">
        <v>520362</v>
      </c>
      <c r="D1402" s="479">
        <v>200</v>
      </c>
    </row>
    <row r="1403" spans="1:4" x14ac:dyDescent="0.2">
      <c r="A1403" s="728">
        <v>44329</v>
      </c>
      <c r="B1403" s="331">
        <f t="shared" si="12"/>
        <v>525995.02</v>
      </c>
      <c r="C1403" s="478">
        <v>525795.02</v>
      </c>
      <c r="D1403" s="479">
        <v>200</v>
      </c>
    </row>
    <row r="1404" spans="1:4" x14ac:dyDescent="0.2">
      <c r="A1404" s="728">
        <v>44330</v>
      </c>
      <c r="B1404" s="331">
        <f t="shared" si="12"/>
        <v>521947.98</v>
      </c>
      <c r="C1404" s="478">
        <v>521747.98</v>
      </c>
      <c r="D1404" s="479">
        <v>200</v>
      </c>
    </row>
    <row r="1405" spans="1:4" x14ac:dyDescent="0.2">
      <c r="A1405" s="728">
        <v>44333</v>
      </c>
      <c r="B1405" s="331">
        <f t="shared" si="12"/>
        <v>521948</v>
      </c>
      <c r="C1405" s="478">
        <v>521748</v>
      </c>
      <c r="D1405" s="479">
        <v>200</v>
      </c>
    </row>
    <row r="1406" spans="1:4" x14ac:dyDescent="0.2">
      <c r="A1406" s="728">
        <v>44334</v>
      </c>
      <c r="B1406" s="331">
        <f t="shared" si="12"/>
        <v>521948</v>
      </c>
      <c r="C1406" s="478">
        <v>521748</v>
      </c>
      <c r="D1406" s="479">
        <v>200</v>
      </c>
    </row>
    <row r="1407" spans="1:4" x14ac:dyDescent="0.2">
      <c r="A1407" s="728">
        <v>44335</v>
      </c>
      <c r="B1407" s="331">
        <f t="shared" si="12"/>
        <v>522186.98</v>
      </c>
      <c r="C1407" s="478">
        <v>521986.98</v>
      </c>
      <c r="D1407" s="479">
        <v>200</v>
      </c>
    </row>
    <row r="1408" spans="1:4" x14ac:dyDescent="0.2">
      <c r="A1408" s="728">
        <v>44336</v>
      </c>
      <c r="B1408" s="331">
        <f t="shared" si="12"/>
        <v>518466.54</v>
      </c>
      <c r="C1408" s="478">
        <v>518266.54</v>
      </c>
      <c r="D1408" s="479">
        <v>200</v>
      </c>
    </row>
    <row r="1409" spans="1:4" x14ac:dyDescent="0.2">
      <c r="A1409" s="728">
        <v>44337</v>
      </c>
      <c r="B1409" s="331">
        <f t="shared" si="12"/>
        <v>518467</v>
      </c>
      <c r="C1409" s="478">
        <v>518267</v>
      </c>
      <c r="D1409" s="479">
        <v>200</v>
      </c>
    </row>
    <row r="1410" spans="1:4" x14ac:dyDescent="0.2">
      <c r="A1410" s="728">
        <v>44340</v>
      </c>
      <c r="B1410" s="331">
        <f t="shared" si="12"/>
        <v>486541.35</v>
      </c>
      <c r="C1410" s="478">
        <v>486341.35</v>
      </c>
      <c r="D1410" s="479">
        <v>200</v>
      </c>
    </row>
    <row r="1411" spans="1:4" x14ac:dyDescent="0.2">
      <c r="A1411" s="728">
        <v>44341</v>
      </c>
      <c r="B1411" s="331">
        <f t="shared" si="12"/>
        <v>486541</v>
      </c>
      <c r="C1411" s="478">
        <v>486341</v>
      </c>
      <c r="D1411" s="479">
        <v>200</v>
      </c>
    </row>
    <row r="1412" spans="1:4" x14ac:dyDescent="0.2">
      <c r="A1412" s="728">
        <v>44342</v>
      </c>
      <c r="B1412" s="331">
        <f t="shared" si="12"/>
        <v>512462.15</v>
      </c>
      <c r="C1412" s="478">
        <v>512262.15</v>
      </c>
      <c r="D1412" s="479">
        <v>200</v>
      </c>
    </row>
    <row r="1413" spans="1:4" x14ac:dyDescent="0.2">
      <c r="A1413" s="728">
        <v>44343</v>
      </c>
      <c r="B1413" s="331">
        <f t="shared" si="12"/>
        <v>512462</v>
      </c>
      <c r="C1413" s="478">
        <v>512262</v>
      </c>
      <c r="D1413" s="479">
        <v>200</v>
      </c>
    </row>
    <row r="1414" spans="1:4" x14ac:dyDescent="0.2">
      <c r="A1414" s="728">
        <v>44344</v>
      </c>
      <c r="B1414" s="331">
        <f t="shared" si="12"/>
        <v>513609.04</v>
      </c>
      <c r="C1414" s="478">
        <v>513409.04</v>
      </c>
      <c r="D1414" s="479">
        <v>200</v>
      </c>
    </row>
    <row r="1415" spans="1:4" x14ac:dyDescent="0.2">
      <c r="A1415" s="728">
        <v>44347</v>
      </c>
      <c r="B1415" s="331">
        <f t="shared" si="12"/>
        <v>513609</v>
      </c>
      <c r="C1415" s="478">
        <v>513409</v>
      </c>
      <c r="D1415" s="479">
        <v>200</v>
      </c>
    </row>
    <row r="1416" spans="1:4" x14ac:dyDescent="0.2">
      <c r="A1416" s="728">
        <v>44348</v>
      </c>
      <c r="B1416" s="331">
        <f t="shared" si="12"/>
        <v>513579.05</v>
      </c>
      <c r="C1416" s="478">
        <v>513379.05</v>
      </c>
      <c r="D1416" s="479">
        <v>200</v>
      </c>
    </row>
    <row r="1417" spans="1:4" x14ac:dyDescent="0.2">
      <c r="A1417" s="728">
        <v>44349</v>
      </c>
      <c r="B1417" s="331">
        <f t="shared" si="12"/>
        <v>514399.44</v>
      </c>
      <c r="C1417" s="478">
        <v>514199.44</v>
      </c>
      <c r="D1417" s="479">
        <v>200</v>
      </c>
    </row>
    <row r="1418" spans="1:4" x14ac:dyDescent="0.2">
      <c r="A1418" s="728">
        <v>44350</v>
      </c>
      <c r="B1418" s="331">
        <f t="shared" si="12"/>
        <v>501741.57</v>
      </c>
      <c r="C1418" s="478">
        <v>501541.57</v>
      </c>
      <c r="D1418" s="479">
        <v>200</v>
      </c>
    </row>
    <row r="1419" spans="1:4" x14ac:dyDescent="0.2">
      <c r="A1419" s="728">
        <v>44351</v>
      </c>
      <c r="B1419" s="331">
        <f t="shared" si="12"/>
        <v>501742</v>
      </c>
      <c r="C1419" s="478">
        <v>501542</v>
      </c>
      <c r="D1419" s="479">
        <v>200</v>
      </c>
    </row>
    <row r="1420" spans="1:4" x14ac:dyDescent="0.2">
      <c r="A1420" s="728">
        <v>44354</v>
      </c>
      <c r="B1420" s="331">
        <f t="shared" si="12"/>
        <v>502500.51</v>
      </c>
      <c r="C1420" s="478">
        <v>502300.51</v>
      </c>
      <c r="D1420" s="479">
        <v>200</v>
      </c>
    </row>
    <row r="1421" spans="1:4" x14ac:dyDescent="0.2">
      <c r="A1421" s="728">
        <v>44355</v>
      </c>
      <c r="B1421" s="331">
        <f t="shared" si="12"/>
        <v>502953.51</v>
      </c>
      <c r="C1421" s="478">
        <v>502753.51</v>
      </c>
      <c r="D1421" s="479">
        <v>200</v>
      </c>
    </row>
    <row r="1422" spans="1:4" x14ac:dyDescent="0.2">
      <c r="A1422" s="728">
        <v>44356</v>
      </c>
      <c r="B1422" s="331">
        <f t="shared" si="12"/>
        <v>502954</v>
      </c>
      <c r="C1422" s="478">
        <v>502754</v>
      </c>
      <c r="D1422" s="479">
        <v>200</v>
      </c>
    </row>
    <row r="1423" spans="1:4" x14ac:dyDescent="0.2">
      <c r="A1423" s="728">
        <v>44357</v>
      </c>
      <c r="B1423" s="331">
        <f t="shared" si="12"/>
        <v>483592.4</v>
      </c>
      <c r="C1423" s="478">
        <v>483392.4</v>
      </c>
      <c r="D1423" s="479">
        <v>200</v>
      </c>
    </row>
    <row r="1424" spans="1:4" x14ac:dyDescent="0.2">
      <c r="A1424" s="728">
        <v>44358</v>
      </c>
      <c r="B1424" s="331">
        <f t="shared" si="12"/>
        <v>483291.95</v>
      </c>
      <c r="C1424" s="478">
        <v>483091.95</v>
      </c>
      <c r="D1424" s="479">
        <v>200</v>
      </c>
    </row>
    <row r="1425" spans="1:4" x14ac:dyDescent="0.2">
      <c r="A1425" s="728">
        <v>44361</v>
      </c>
      <c r="B1425" s="331">
        <f t="shared" si="12"/>
        <v>495768.59</v>
      </c>
      <c r="C1425" s="478">
        <v>495568.59</v>
      </c>
      <c r="D1425" s="479">
        <v>200</v>
      </c>
    </row>
    <row r="1426" spans="1:4" x14ac:dyDescent="0.2">
      <c r="A1426" s="728">
        <v>44362</v>
      </c>
      <c r="B1426" s="331">
        <f t="shared" si="12"/>
        <v>495822.72</v>
      </c>
      <c r="C1426" s="478">
        <v>495622.72</v>
      </c>
      <c r="D1426" s="479">
        <v>200</v>
      </c>
    </row>
    <row r="1427" spans="1:4" x14ac:dyDescent="0.2">
      <c r="A1427" s="728">
        <v>44363</v>
      </c>
      <c r="B1427" s="331">
        <f t="shared" si="12"/>
        <v>520028.1</v>
      </c>
      <c r="C1427" s="478">
        <v>519828.1</v>
      </c>
      <c r="D1427" s="479">
        <v>200</v>
      </c>
    </row>
    <row r="1428" spans="1:4" x14ac:dyDescent="0.2">
      <c r="A1428" s="728">
        <v>44364</v>
      </c>
      <c r="B1428" s="331">
        <f t="shared" si="12"/>
        <v>517161.8</v>
      </c>
      <c r="C1428" s="478">
        <v>516961.8</v>
      </c>
      <c r="D1428" s="479">
        <v>200</v>
      </c>
    </row>
    <row r="1429" spans="1:4" x14ac:dyDescent="0.2">
      <c r="A1429" s="728">
        <v>44365</v>
      </c>
      <c r="B1429" s="331">
        <f t="shared" si="12"/>
        <v>518094.91</v>
      </c>
      <c r="C1429" s="478">
        <v>517894.91</v>
      </c>
      <c r="D1429" s="479">
        <v>200</v>
      </c>
    </row>
    <row r="1430" spans="1:4" x14ac:dyDescent="0.2">
      <c r="A1430" s="728">
        <v>44368</v>
      </c>
      <c r="B1430" s="331">
        <f t="shared" si="12"/>
        <v>484042.38</v>
      </c>
      <c r="C1430" s="478">
        <v>483842.38</v>
      </c>
      <c r="D1430" s="479">
        <v>200</v>
      </c>
    </row>
    <row r="1431" spans="1:4" x14ac:dyDescent="0.2">
      <c r="A1431" s="728">
        <v>44369</v>
      </c>
      <c r="B1431" s="331">
        <f t="shared" si="12"/>
        <v>497746.99</v>
      </c>
      <c r="C1431" s="478">
        <v>497546.99</v>
      </c>
      <c r="D1431" s="479">
        <v>200</v>
      </c>
    </row>
    <row r="1432" spans="1:4" x14ac:dyDescent="0.2">
      <c r="A1432" s="728">
        <v>44370</v>
      </c>
      <c r="B1432" s="331">
        <f t="shared" si="12"/>
        <v>497747</v>
      </c>
      <c r="C1432" s="478">
        <v>497547</v>
      </c>
      <c r="D1432" s="479">
        <v>200</v>
      </c>
    </row>
    <row r="1433" spans="1:4" x14ac:dyDescent="0.2">
      <c r="A1433" s="728">
        <v>44371</v>
      </c>
      <c r="B1433" s="331">
        <f t="shared" si="12"/>
        <v>495381.8</v>
      </c>
      <c r="C1433" s="478">
        <v>495181.8</v>
      </c>
      <c r="D1433" s="479">
        <v>200</v>
      </c>
    </row>
    <row r="1434" spans="1:4" x14ac:dyDescent="0.2">
      <c r="A1434" s="728">
        <v>44372</v>
      </c>
      <c r="B1434" s="331">
        <f t="shared" si="12"/>
        <v>495081.35</v>
      </c>
      <c r="C1434" s="478">
        <v>494881.35</v>
      </c>
      <c r="D1434" s="479">
        <v>200</v>
      </c>
    </row>
    <row r="1435" spans="1:4" x14ac:dyDescent="0.2">
      <c r="A1435" s="728">
        <v>44375</v>
      </c>
      <c r="B1435" s="331">
        <f t="shared" si="12"/>
        <v>495055.65</v>
      </c>
      <c r="C1435" s="478">
        <v>494855.65</v>
      </c>
      <c r="D1435" s="479">
        <v>200</v>
      </c>
    </row>
    <row r="1436" spans="1:4" x14ac:dyDescent="0.2">
      <c r="A1436" s="728">
        <v>44376</v>
      </c>
      <c r="B1436" s="331">
        <f t="shared" si="12"/>
        <v>495056</v>
      </c>
      <c r="C1436" s="478">
        <v>494856</v>
      </c>
      <c r="D1436" s="479">
        <v>200</v>
      </c>
    </row>
    <row r="1437" spans="1:4" x14ac:dyDescent="0.2">
      <c r="A1437" s="728">
        <v>44377</v>
      </c>
      <c r="B1437" s="331">
        <f t="shared" si="12"/>
        <v>497588.94</v>
      </c>
      <c r="C1437" s="478">
        <v>497388.94</v>
      </c>
      <c r="D1437" s="479">
        <v>200</v>
      </c>
    </row>
    <row r="1438" spans="1:4" x14ac:dyDescent="0.2">
      <c r="A1438" s="728">
        <v>44378</v>
      </c>
      <c r="B1438" s="331">
        <f t="shared" si="12"/>
        <v>488300.76</v>
      </c>
      <c r="C1438" s="478">
        <v>488100.76</v>
      </c>
      <c r="D1438" s="479">
        <v>200</v>
      </c>
    </row>
    <row r="1439" spans="1:4" x14ac:dyDescent="0.2">
      <c r="A1439" s="728">
        <v>44379</v>
      </c>
      <c r="B1439" s="331">
        <f t="shared" si="12"/>
        <v>488301</v>
      </c>
      <c r="C1439" s="478">
        <v>488101</v>
      </c>
      <c r="D1439" s="479">
        <v>200</v>
      </c>
    </row>
    <row r="1440" spans="1:4" x14ac:dyDescent="0.2">
      <c r="A1440" s="728">
        <v>44382</v>
      </c>
      <c r="B1440" s="331">
        <f t="shared" si="12"/>
        <v>488301</v>
      </c>
      <c r="C1440" s="478">
        <v>488101</v>
      </c>
      <c r="D1440" s="479">
        <v>200</v>
      </c>
    </row>
    <row r="1441" spans="1:4" x14ac:dyDescent="0.2">
      <c r="A1441" s="728">
        <v>44383</v>
      </c>
      <c r="B1441" s="331">
        <f t="shared" si="12"/>
        <v>453460.75</v>
      </c>
      <c r="C1441" s="478">
        <v>453260.75</v>
      </c>
      <c r="D1441" s="479">
        <v>200</v>
      </c>
    </row>
    <row r="1442" spans="1:4" x14ac:dyDescent="0.2">
      <c r="A1442" s="728">
        <v>44384</v>
      </c>
      <c r="B1442" s="331">
        <f t="shared" si="12"/>
        <v>453461</v>
      </c>
      <c r="C1442" s="478">
        <v>453261</v>
      </c>
      <c r="D1442" s="479">
        <v>200</v>
      </c>
    </row>
    <row r="1443" spans="1:4" x14ac:dyDescent="0.2">
      <c r="A1443" s="728">
        <v>44385</v>
      </c>
      <c r="B1443" s="331">
        <f t="shared" si="12"/>
        <v>453914.75</v>
      </c>
      <c r="C1443" s="478">
        <v>453714.75</v>
      </c>
      <c r="D1443" s="479">
        <v>200</v>
      </c>
    </row>
    <row r="1444" spans="1:4" x14ac:dyDescent="0.2">
      <c r="A1444" s="728">
        <v>44386</v>
      </c>
      <c r="B1444" s="331">
        <f t="shared" si="12"/>
        <v>451808.36</v>
      </c>
      <c r="C1444" s="478">
        <v>451608.36</v>
      </c>
      <c r="D1444" s="479">
        <v>200</v>
      </c>
    </row>
    <row r="1445" spans="1:4" x14ac:dyDescent="0.2">
      <c r="A1445" s="728">
        <v>44389</v>
      </c>
      <c r="B1445" s="331">
        <f t="shared" si="12"/>
        <v>451808</v>
      </c>
      <c r="C1445" s="478">
        <v>451608</v>
      </c>
      <c r="D1445" s="479">
        <v>200</v>
      </c>
    </row>
    <row r="1446" spans="1:4" x14ac:dyDescent="0.2">
      <c r="A1446" s="728">
        <v>44390</v>
      </c>
      <c r="B1446" s="331">
        <f t="shared" si="12"/>
        <v>452941.65</v>
      </c>
      <c r="C1446" s="478">
        <v>452741.65</v>
      </c>
      <c r="D1446" s="479">
        <v>200</v>
      </c>
    </row>
    <row r="1447" spans="1:4" x14ac:dyDescent="0.2">
      <c r="A1447" s="728">
        <v>44391</v>
      </c>
      <c r="B1447" s="331">
        <f t="shared" si="12"/>
        <v>453131.97</v>
      </c>
      <c r="C1447" s="478">
        <v>452931.97</v>
      </c>
      <c r="D1447" s="479">
        <v>200</v>
      </c>
    </row>
    <row r="1448" spans="1:4" x14ac:dyDescent="0.2">
      <c r="A1448" s="728">
        <v>44392</v>
      </c>
      <c r="B1448" s="331">
        <f t="shared" si="12"/>
        <v>453180.49</v>
      </c>
      <c r="C1448" s="478">
        <v>452980.49</v>
      </c>
      <c r="D1448" s="479">
        <v>200</v>
      </c>
    </row>
    <row r="1449" spans="1:4" x14ac:dyDescent="0.2">
      <c r="A1449" s="728">
        <v>44393</v>
      </c>
      <c r="B1449" s="331">
        <f t="shared" si="12"/>
        <v>453180</v>
      </c>
      <c r="C1449" s="478">
        <v>452980</v>
      </c>
      <c r="D1449" s="479">
        <v>200</v>
      </c>
    </row>
    <row r="1450" spans="1:4" x14ac:dyDescent="0.2">
      <c r="A1450" s="728">
        <v>44396</v>
      </c>
      <c r="B1450" s="331">
        <f t="shared" si="12"/>
        <v>436299.85</v>
      </c>
      <c r="C1450" s="478">
        <v>436099.85</v>
      </c>
      <c r="D1450" s="479">
        <v>200</v>
      </c>
    </row>
    <row r="1451" spans="1:4" x14ac:dyDescent="0.2">
      <c r="A1451" s="728">
        <v>44397</v>
      </c>
      <c r="B1451" s="331">
        <f t="shared" si="12"/>
        <v>400936.9</v>
      </c>
      <c r="C1451" s="478">
        <v>400736.9</v>
      </c>
      <c r="D1451" s="479">
        <v>200</v>
      </c>
    </row>
    <row r="1452" spans="1:4" x14ac:dyDescent="0.2">
      <c r="A1452" s="728">
        <v>44398</v>
      </c>
      <c r="B1452" s="331">
        <f t="shared" si="12"/>
        <v>400937</v>
      </c>
      <c r="C1452" s="478">
        <v>400737</v>
      </c>
      <c r="D1452" s="479">
        <v>200</v>
      </c>
    </row>
    <row r="1453" spans="1:4" x14ac:dyDescent="0.2">
      <c r="A1453" s="728">
        <v>44399</v>
      </c>
      <c r="B1453" s="331">
        <f t="shared" si="12"/>
        <v>298716.2</v>
      </c>
      <c r="C1453" s="478">
        <v>298516.2</v>
      </c>
      <c r="D1453" s="479">
        <v>200</v>
      </c>
    </row>
    <row r="1454" spans="1:4" x14ac:dyDescent="0.2">
      <c r="A1454" s="728">
        <v>44400</v>
      </c>
      <c r="B1454" s="331">
        <f t="shared" si="12"/>
        <v>298557.34999999998</v>
      </c>
      <c r="C1454" s="478">
        <v>298357.34999999998</v>
      </c>
      <c r="D1454" s="479">
        <v>200</v>
      </c>
    </row>
    <row r="1455" spans="1:4" x14ac:dyDescent="0.2">
      <c r="A1455" s="728">
        <v>44403</v>
      </c>
      <c r="B1455" s="331">
        <f t="shared" ref="B1455" si="13">C1455+D1455</f>
        <v>298557</v>
      </c>
      <c r="C1455" s="478">
        <v>298357</v>
      </c>
      <c r="D1455" s="479">
        <v>200</v>
      </c>
    </row>
    <row r="1456" spans="1:4" x14ac:dyDescent="0.2">
      <c r="A1456" s="728">
        <v>44404</v>
      </c>
      <c r="B1456" s="331">
        <v>298047.28999999998</v>
      </c>
      <c r="C1456" s="478">
        <v>298357</v>
      </c>
      <c r="D1456" s="479">
        <v>200</v>
      </c>
    </row>
    <row r="1457" spans="1:4" x14ac:dyDescent="0.2">
      <c r="A1457" s="728">
        <v>44405</v>
      </c>
      <c r="B1457" s="331">
        <f t="shared" ref="B1457:B1520" si="14">C1457+D1457</f>
        <v>298221.59000000003</v>
      </c>
      <c r="C1457" s="331">
        <v>298021.59000000003</v>
      </c>
      <c r="D1457" s="479">
        <v>200</v>
      </c>
    </row>
    <row r="1458" spans="1:4" x14ac:dyDescent="0.2">
      <c r="A1458" s="728">
        <v>44406</v>
      </c>
      <c r="B1458" s="331">
        <f t="shared" si="14"/>
        <v>298222</v>
      </c>
      <c r="C1458" s="331">
        <v>298022</v>
      </c>
      <c r="D1458" s="479">
        <v>200</v>
      </c>
    </row>
    <row r="1459" spans="1:4" x14ac:dyDescent="0.2">
      <c r="A1459" s="728">
        <v>44407</v>
      </c>
      <c r="B1459" s="331">
        <f t="shared" si="14"/>
        <v>286090</v>
      </c>
      <c r="C1459" s="331">
        <v>285890</v>
      </c>
      <c r="D1459" s="479">
        <v>200</v>
      </c>
    </row>
    <row r="1460" spans="1:4" x14ac:dyDescent="0.2">
      <c r="A1460" s="728">
        <v>44410</v>
      </c>
      <c r="B1460" s="331">
        <f t="shared" si="14"/>
        <v>285690.83</v>
      </c>
      <c r="C1460" s="331">
        <v>285490.83</v>
      </c>
      <c r="D1460" s="479">
        <v>200</v>
      </c>
    </row>
    <row r="1461" spans="1:4" x14ac:dyDescent="0.2">
      <c r="A1461" s="728">
        <v>44411</v>
      </c>
      <c r="B1461" s="331">
        <f t="shared" si="14"/>
        <v>250196.9</v>
      </c>
      <c r="C1461" s="331">
        <v>249996.9</v>
      </c>
      <c r="D1461" s="479">
        <v>200</v>
      </c>
    </row>
    <row r="1462" spans="1:4" x14ac:dyDescent="0.2">
      <c r="A1462" s="728">
        <v>44412</v>
      </c>
      <c r="B1462" s="331">
        <f t="shared" si="14"/>
        <v>250197</v>
      </c>
      <c r="C1462" s="331">
        <v>249997</v>
      </c>
      <c r="D1462" s="479">
        <v>200</v>
      </c>
    </row>
    <row r="1463" spans="1:4" x14ac:dyDescent="0.2">
      <c r="A1463" s="728">
        <v>44413</v>
      </c>
      <c r="B1463" s="331">
        <f t="shared" si="14"/>
        <v>242217.24</v>
      </c>
      <c r="C1463" s="331">
        <v>242017.24</v>
      </c>
      <c r="D1463" s="479">
        <v>200</v>
      </c>
    </row>
    <row r="1464" spans="1:4" x14ac:dyDescent="0.2">
      <c r="A1464" s="728">
        <v>44414</v>
      </c>
      <c r="B1464" s="331">
        <f t="shared" si="14"/>
        <v>241916.79</v>
      </c>
      <c r="C1464" s="331">
        <v>241716.79</v>
      </c>
      <c r="D1464" s="479">
        <v>200</v>
      </c>
    </row>
    <row r="1465" spans="1:4" x14ac:dyDescent="0.2">
      <c r="A1465" s="728">
        <v>44417</v>
      </c>
      <c r="B1465" s="331">
        <f t="shared" si="14"/>
        <v>242014.29</v>
      </c>
      <c r="C1465" s="331">
        <v>241814.29</v>
      </c>
      <c r="D1465" s="479">
        <v>200</v>
      </c>
    </row>
    <row r="1466" spans="1:4" x14ac:dyDescent="0.2">
      <c r="A1466" s="728">
        <v>44418</v>
      </c>
      <c r="B1466" s="331">
        <f t="shared" si="14"/>
        <v>260028.48</v>
      </c>
      <c r="C1466" s="331">
        <v>259828.48000000001</v>
      </c>
      <c r="D1466" s="479">
        <v>200</v>
      </c>
    </row>
    <row r="1467" spans="1:4" x14ac:dyDescent="0.2">
      <c r="A1467" s="728">
        <v>44419</v>
      </c>
      <c r="B1467" s="331">
        <f t="shared" si="14"/>
        <v>261085.42</v>
      </c>
      <c r="C1467" s="331">
        <v>260885.42</v>
      </c>
      <c r="D1467" s="479">
        <v>200</v>
      </c>
    </row>
    <row r="1468" spans="1:4" x14ac:dyDescent="0.2">
      <c r="A1468" s="728">
        <v>44420</v>
      </c>
      <c r="B1468" s="331">
        <f t="shared" si="14"/>
        <v>261983.68</v>
      </c>
      <c r="C1468" s="331">
        <v>261783.67999999999</v>
      </c>
      <c r="D1468" s="479">
        <v>200</v>
      </c>
    </row>
    <row r="1469" spans="1:4" x14ac:dyDescent="0.2">
      <c r="A1469" s="728">
        <v>44421</v>
      </c>
      <c r="B1469" s="331">
        <f t="shared" si="14"/>
        <v>262016.54</v>
      </c>
      <c r="C1469" s="331">
        <v>261816.54</v>
      </c>
      <c r="D1469" s="479">
        <v>200</v>
      </c>
    </row>
    <row r="1470" spans="1:4" x14ac:dyDescent="0.2">
      <c r="A1470" s="728">
        <v>44424</v>
      </c>
      <c r="B1470" s="331">
        <f t="shared" si="14"/>
        <v>262016.54</v>
      </c>
      <c r="C1470" s="331">
        <f t="shared" ref="C1470:C1522" si="15">C1469</f>
        <v>261816.54</v>
      </c>
      <c r="D1470" s="479">
        <v>200</v>
      </c>
    </row>
    <row r="1471" spans="1:4" x14ac:dyDescent="0.2">
      <c r="A1471" s="728">
        <v>44425</v>
      </c>
      <c r="B1471" s="331">
        <f t="shared" si="14"/>
        <v>226196.56</v>
      </c>
      <c r="C1471" s="331">
        <v>225996.56</v>
      </c>
      <c r="D1471" s="479">
        <v>200</v>
      </c>
    </row>
    <row r="1472" spans="1:4" x14ac:dyDescent="0.2">
      <c r="A1472" s="728">
        <v>44426</v>
      </c>
      <c r="B1472" s="331">
        <f t="shared" si="14"/>
        <v>245030.16</v>
      </c>
      <c r="C1472" s="331">
        <v>244830.16</v>
      </c>
      <c r="D1472" s="479">
        <v>200</v>
      </c>
    </row>
    <row r="1473" spans="1:4" x14ac:dyDescent="0.2">
      <c r="A1473" s="728">
        <v>44427</v>
      </c>
      <c r="B1473" s="331">
        <f t="shared" si="14"/>
        <v>229633.33</v>
      </c>
      <c r="C1473" s="331">
        <v>229433.33</v>
      </c>
      <c r="D1473" s="479">
        <v>200</v>
      </c>
    </row>
    <row r="1474" spans="1:4" x14ac:dyDescent="0.2">
      <c r="A1474" s="728">
        <v>44428</v>
      </c>
      <c r="B1474" s="331">
        <f t="shared" si="14"/>
        <v>247195.12</v>
      </c>
      <c r="C1474" s="331">
        <v>246995.12</v>
      </c>
      <c r="D1474" s="479">
        <v>200</v>
      </c>
    </row>
    <row r="1475" spans="1:4" x14ac:dyDescent="0.2">
      <c r="A1475" s="728">
        <v>44431</v>
      </c>
      <c r="B1475" s="331">
        <f t="shared" si="14"/>
        <v>247195.12</v>
      </c>
      <c r="C1475" s="331">
        <f t="shared" si="15"/>
        <v>246995.12</v>
      </c>
      <c r="D1475" s="479">
        <v>200</v>
      </c>
    </row>
    <row r="1476" spans="1:4" x14ac:dyDescent="0.2">
      <c r="A1476" s="728">
        <v>44432</v>
      </c>
      <c r="B1476" s="331">
        <f t="shared" si="14"/>
        <v>347649.83</v>
      </c>
      <c r="C1476" s="331">
        <v>347449.83</v>
      </c>
      <c r="D1476" s="479">
        <v>200</v>
      </c>
    </row>
    <row r="1477" spans="1:4" x14ac:dyDescent="0.2">
      <c r="A1477" s="728">
        <v>44433</v>
      </c>
      <c r="B1477" s="331">
        <f t="shared" si="14"/>
        <v>347649.83</v>
      </c>
      <c r="C1477" s="331">
        <f t="shared" si="15"/>
        <v>347449.83</v>
      </c>
      <c r="D1477" s="479">
        <v>200</v>
      </c>
    </row>
    <row r="1478" spans="1:4" x14ac:dyDescent="0.2">
      <c r="A1478" s="728">
        <v>44434</v>
      </c>
      <c r="B1478" s="331">
        <f t="shared" si="14"/>
        <v>341237.68</v>
      </c>
      <c r="C1478" s="331">
        <v>341037.68</v>
      </c>
      <c r="D1478" s="479">
        <v>200</v>
      </c>
    </row>
    <row r="1479" spans="1:4" x14ac:dyDescent="0.2">
      <c r="A1479" s="728">
        <v>44435</v>
      </c>
      <c r="B1479" s="331">
        <f t="shared" si="14"/>
        <v>373525.01</v>
      </c>
      <c r="C1479" s="331">
        <v>373325.01</v>
      </c>
      <c r="D1479" s="479">
        <v>200</v>
      </c>
    </row>
    <row r="1480" spans="1:4" x14ac:dyDescent="0.2">
      <c r="A1480" s="728">
        <v>44438</v>
      </c>
      <c r="B1480" s="331">
        <f t="shared" si="14"/>
        <v>373525.01</v>
      </c>
      <c r="C1480" s="331">
        <f t="shared" si="15"/>
        <v>373325.01</v>
      </c>
      <c r="D1480" s="479">
        <v>200</v>
      </c>
    </row>
    <row r="1481" spans="1:4" x14ac:dyDescent="0.2">
      <c r="A1481" s="728">
        <v>44439</v>
      </c>
      <c r="B1481" s="331">
        <f t="shared" si="14"/>
        <v>336851.39</v>
      </c>
      <c r="C1481" s="331">
        <v>336651.39</v>
      </c>
      <c r="D1481" s="479">
        <v>200</v>
      </c>
    </row>
    <row r="1482" spans="1:4" x14ac:dyDescent="0.2">
      <c r="A1482" s="728">
        <v>44440</v>
      </c>
      <c r="B1482" s="331">
        <f t="shared" si="14"/>
        <v>336851.39</v>
      </c>
      <c r="C1482" s="331">
        <f t="shared" si="15"/>
        <v>336651.39</v>
      </c>
      <c r="D1482" s="479">
        <v>200</v>
      </c>
    </row>
    <row r="1483" spans="1:4" x14ac:dyDescent="0.2">
      <c r="A1483" s="728">
        <v>44441</v>
      </c>
      <c r="B1483" s="331">
        <f t="shared" si="14"/>
        <v>336851.39</v>
      </c>
      <c r="C1483" s="331">
        <f t="shared" si="15"/>
        <v>336651.39</v>
      </c>
      <c r="D1483" s="479">
        <v>200</v>
      </c>
    </row>
    <row r="1484" spans="1:4" x14ac:dyDescent="0.2">
      <c r="A1484" s="728">
        <v>44442</v>
      </c>
      <c r="B1484" s="331">
        <f t="shared" si="14"/>
        <v>360197.14</v>
      </c>
      <c r="C1484" s="331">
        <v>359997.14</v>
      </c>
      <c r="D1484" s="479">
        <v>200</v>
      </c>
    </row>
    <row r="1485" spans="1:4" x14ac:dyDescent="0.2">
      <c r="A1485" s="728">
        <v>44445</v>
      </c>
      <c r="B1485" s="331">
        <f t="shared" si="14"/>
        <v>360197.14</v>
      </c>
      <c r="C1485" s="331">
        <f t="shared" si="15"/>
        <v>359997.14</v>
      </c>
      <c r="D1485" s="479">
        <v>200</v>
      </c>
    </row>
    <row r="1486" spans="1:4" x14ac:dyDescent="0.2">
      <c r="A1486" s="728">
        <v>44446</v>
      </c>
      <c r="B1486" s="331">
        <f t="shared" si="14"/>
        <v>354806.36</v>
      </c>
      <c r="C1486" s="331">
        <v>354606.36</v>
      </c>
      <c r="D1486" s="479">
        <v>200</v>
      </c>
    </row>
    <row r="1487" spans="1:4" x14ac:dyDescent="0.2">
      <c r="A1487" s="728">
        <v>44447</v>
      </c>
      <c r="B1487" s="331">
        <f t="shared" si="14"/>
        <v>354806.36</v>
      </c>
      <c r="C1487" s="331">
        <f t="shared" si="15"/>
        <v>354606.36</v>
      </c>
      <c r="D1487" s="479">
        <v>200</v>
      </c>
    </row>
    <row r="1488" spans="1:4" x14ac:dyDescent="0.2">
      <c r="A1488" s="728">
        <v>44448</v>
      </c>
      <c r="B1488" s="331">
        <f t="shared" si="14"/>
        <v>354806.36</v>
      </c>
      <c r="C1488" s="331">
        <f t="shared" si="15"/>
        <v>354606.36</v>
      </c>
      <c r="D1488" s="479">
        <v>200</v>
      </c>
    </row>
    <row r="1489" spans="1:4" x14ac:dyDescent="0.2">
      <c r="A1489" s="728">
        <v>44449</v>
      </c>
      <c r="B1489" s="331">
        <f t="shared" si="14"/>
        <v>354806.36</v>
      </c>
      <c r="C1489" s="331">
        <f t="shared" si="15"/>
        <v>354606.36</v>
      </c>
      <c r="D1489" s="479">
        <v>200</v>
      </c>
    </row>
    <row r="1490" spans="1:4" x14ac:dyDescent="0.2">
      <c r="A1490" s="728">
        <v>44452</v>
      </c>
      <c r="B1490" s="331">
        <f t="shared" si="14"/>
        <v>317290.98</v>
      </c>
      <c r="C1490" s="331">
        <v>317090.98</v>
      </c>
      <c r="D1490" s="479">
        <v>200</v>
      </c>
    </row>
    <row r="1491" spans="1:4" x14ac:dyDescent="0.2">
      <c r="A1491" s="728">
        <v>44453</v>
      </c>
      <c r="B1491" s="331">
        <f t="shared" si="14"/>
        <v>365898.08</v>
      </c>
      <c r="C1491" s="331">
        <v>365698.08</v>
      </c>
      <c r="D1491" s="479">
        <v>200</v>
      </c>
    </row>
    <row r="1492" spans="1:4" x14ac:dyDescent="0.2">
      <c r="A1492" s="728">
        <v>44454</v>
      </c>
      <c r="B1492" s="331">
        <f t="shared" si="14"/>
        <v>365935.11</v>
      </c>
      <c r="C1492" s="331">
        <v>365735.11</v>
      </c>
      <c r="D1492" s="479">
        <v>200</v>
      </c>
    </row>
    <row r="1493" spans="1:4" x14ac:dyDescent="0.2">
      <c r="A1493" s="728">
        <v>44455</v>
      </c>
      <c r="B1493" s="331">
        <f t="shared" si="14"/>
        <v>365935.11</v>
      </c>
      <c r="C1493" s="331">
        <f t="shared" si="15"/>
        <v>365735.11</v>
      </c>
      <c r="D1493" s="479">
        <v>200</v>
      </c>
    </row>
    <row r="1494" spans="1:4" x14ac:dyDescent="0.2">
      <c r="A1494" s="728">
        <v>44456</v>
      </c>
      <c r="B1494" s="331">
        <f t="shared" si="14"/>
        <v>357664.5</v>
      </c>
      <c r="C1494" s="331">
        <v>357464.5</v>
      </c>
      <c r="D1494" s="479">
        <v>200</v>
      </c>
    </row>
    <row r="1495" spans="1:4" x14ac:dyDescent="0.2">
      <c r="A1495" s="728">
        <v>44459</v>
      </c>
      <c r="B1495" s="331">
        <f t="shared" si="14"/>
        <v>357664.5</v>
      </c>
      <c r="C1495" s="331">
        <f t="shared" si="15"/>
        <v>357464.5</v>
      </c>
      <c r="D1495" s="479">
        <v>200</v>
      </c>
    </row>
    <row r="1496" spans="1:4" x14ac:dyDescent="0.2">
      <c r="A1496" s="728">
        <v>44460</v>
      </c>
      <c r="B1496" s="331">
        <f t="shared" si="14"/>
        <v>357664.5</v>
      </c>
      <c r="C1496" s="331">
        <f t="shared" si="15"/>
        <v>357464.5</v>
      </c>
      <c r="D1496" s="479">
        <v>200</v>
      </c>
    </row>
    <row r="1497" spans="1:4" x14ac:dyDescent="0.2">
      <c r="A1497" s="728">
        <v>44461</v>
      </c>
      <c r="B1497" s="331">
        <f t="shared" si="14"/>
        <v>364108.39</v>
      </c>
      <c r="C1497" s="331">
        <v>363908.39</v>
      </c>
      <c r="D1497" s="479">
        <v>200</v>
      </c>
    </row>
    <row r="1498" spans="1:4" x14ac:dyDescent="0.2">
      <c r="A1498" s="728">
        <v>44462</v>
      </c>
      <c r="B1498" s="331">
        <f t="shared" si="14"/>
        <v>372557.83</v>
      </c>
      <c r="C1498" s="331">
        <v>372357.83</v>
      </c>
      <c r="D1498" s="479">
        <v>200</v>
      </c>
    </row>
    <row r="1499" spans="1:4" x14ac:dyDescent="0.2">
      <c r="A1499" s="728">
        <v>44463</v>
      </c>
      <c r="B1499" s="331">
        <f t="shared" si="14"/>
        <v>372557.83</v>
      </c>
      <c r="C1499" s="331">
        <f t="shared" si="15"/>
        <v>372357.83</v>
      </c>
      <c r="D1499" s="479">
        <v>200</v>
      </c>
    </row>
    <row r="1500" spans="1:4" x14ac:dyDescent="0.2">
      <c r="A1500" s="728">
        <v>44466</v>
      </c>
      <c r="B1500" s="331">
        <f t="shared" si="14"/>
        <v>393073.43</v>
      </c>
      <c r="C1500" s="331">
        <v>392873.43</v>
      </c>
      <c r="D1500" s="479">
        <v>200</v>
      </c>
    </row>
    <row r="1501" spans="1:4" x14ac:dyDescent="0.2">
      <c r="A1501" s="728">
        <v>44467</v>
      </c>
      <c r="B1501" s="331">
        <f t="shared" si="14"/>
        <v>354832.22</v>
      </c>
      <c r="C1501" s="331">
        <v>354632.22</v>
      </c>
      <c r="D1501" s="479">
        <v>200</v>
      </c>
    </row>
    <row r="1502" spans="1:4" x14ac:dyDescent="0.2">
      <c r="A1502" s="728">
        <v>44468</v>
      </c>
      <c r="B1502" s="331">
        <f t="shared" si="14"/>
        <v>354832.22</v>
      </c>
      <c r="C1502" s="331">
        <f t="shared" si="15"/>
        <v>354632.22</v>
      </c>
      <c r="D1502" s="479">
        <v>200</v>
      </c>
    </row>
    <row r="1503" spans="1:4" x14ac:dyDescent="0.2">
      <c r="A1503" s="728">
        <v>44469</v>
      </c>
      <c r="B1503" s="331">
        <f t="shared" si="14"/>
        <v>354832.22</v>
      </c>
      <c r="C1503" s="331">
        <f t="shared" si="15"/>
        <v>354632.22</v>
      </c>
      <c r="D1503" s="479">
        <v>200</v>
      </c>
    </row>
    <row r="1504" spans="1:4" x14ac:dyDescent="0.2">
      <c r="A1504" s="728">
        <v>44470</v>
      </c>
      <c r="B1504" s="331">
        <f t="shared" si="14"/>
        <v>343420.25</v>
      </c>
      <c r="C1504" s="331">
        <v>343220.25</v>
      </c>
      <c r="D1504" s="479">
        <v>200</v>
      </c>
    </row>
    <row r="1505" spans="1:4" x14ac:dyDescent="0.2">
      <c r="A1505" s="728">
        <v>44473</v>
      </c>
      <c r="B1505" s="331">
        <f t="shared" si="14"/>
        <v>343420.25</v>
      </c>
      <c r="C1505" s="331">
        <f t="shared" si="15"/>
        <v>343220.25</v>
      </c>
      <c r="D1505" s="479">
        <v>200</v>
      </c>
    </row>
    <row r="1506" spans="1:4" x14ac:dyDescent="0.2">
      <c r="A1506" s="728">
        <v>44474</v>
      </c>
      <c r="B1506" s="331">
        <f t="shared" si="14"/>
        <v>343582.25</v>
      </c>
      <c r="C1506" s="331">
        <v>343382.25</v>
      </c>
      <c r="D1506" s="479">
        <v>200</v>
      </c>
    </row>
    <row r="1507" spans="1:4" x14ac:dyDescent="0.2">
      <c r="A1507" s="728">
        <v>44475</v>
      </c>
      <c r="B1507" s="331">
        <f t="shared" si="14"/>
        <v>343582.25</v>
      </c>
      <c r="C1507" s="331">
        <f t="shared" si="15"/>
        <v>343382.25</v>
      </c>
      <c r="D1507" s="479">
        <v>200</v>
      </c>
    </row>
    <row r="1508" spans="1:4" x14ac:dyDescent="0.2">
      <c r="A1508" s="728">
        <v>44476</v>
      </c>
      <c r="B1508" s="331">
        <f t="shared" si="14"/>
        <v>343606.26</v>
      </c>
      <c r="C1508" s="331">
        <v>343406.26</v>
      </c>
      <c r="D1508" s="479">
        <v>200</v>
      </c>
    </row>
    <row r="1509" spans="1:4" x14ac:dyDescent="0.2">
      <c r="A1509" s="728">
        <v>44477</v>
      </c>
      <c r="B1509" s="331">
        <f t="shared" si="14"/>
        <v>329221.56</v>
      </c>
      <c r="C1509" s="331">
        <v>329021.56</v>
      </c>
      <c r="D1509" s="479">
        <v>200</v>
      </c>
    </row>
    <row r="1510" spans="1:4" x14ac:dyDescent="0.2">
      <c r="A1510" s="728">
        <v>44480</v>
      </c>
      <c r="B1510" s="331">
        <f t="shared" si="14"/>
        <v>329221.56</v>
      </c>
      <c r="C1510" s="331">
        <f t="shared" si="15"/>
        <v>329021.56</v>
      </c>
      <c r="D1510" s="479">
        <v>200</v>
      </c>
    </row>
    <row r="1511" spans="1:4" x14ac:dyDescent="0.2">
      <c r="A1511" s="728">
        <v>44481</v>
      </c>
      <c r="B1511" s="331">
        <f t="shared" si="14"/>
        <v>288818.46999999997</v>
      </c>
      <c r="C1511" s="331">
        <v>288618.46999999997</v>
      </c>
      <c r="D1511" s="479">
        <v>200</v>
      </c>
    </row>
    <row r="1512" spans="1:4" x14ac:dyDescent="0.2">
      <c r="A1512" s="728">
        <v>44482</v>
      </c>
      <c r="B1512" s="331">
        <f t="shared" si="14"/>
        <v>288818.46999999997</v>
      </c>
      <c r="C1512" s="331">
        <f t="shared" si="15"/>
        <v>288618.46999999997</v>
      </c>
      <c r="D1512" s="479">
        <v>200</v>
      </c>
    </row>
    <row r="1513" spans="1:4" x14ac:dyDescent="0.2">
      <c r="A1513" s="728">
        <v>44483</v>
      </c>
      <c r="B1513" s="331">
        <f t="shared" si="14"/>
        <v>295077.74</v>
      </c>
      <c r="C1513" s="331">
        <v>294877.74</v>
      </c>
      <c r="D1513" s="479">
        <v>200</v>
      </c>
    </row>
    <row r="1514" spans="1:4" x14ac:dyDescent="0.2">
      <c r="A1514" s="728">
        <v>44484</v>
      </c>
      <c r="B1514" s="331">
        <f t="shared" si="14"/>
        <v>313755.08</v>
      </c>
      <c r="C1514" s="331">
        <v>313555.08</v>
      </c>
      <c r="D1514" s="479">
        <v>200</v>
      </c>
    </row>
    <row r="1515" spans="1:4" x14ac:dyDescent="0.2">
      <c r="A1515" s="728">
        <v>44487</v>
      </c>
      <c r="B1515" s="331">
        <f t="shared" si="14"/>
        <v>314129.08</v>
      </c>
      <c r="C1515" s="331">
        <v>313929.08</v>
      </c>
      <c r="D1515" s="479">
        <v>200</v>
      </c>
    </row>
    <row r="1516" spans="1:4" x14ac:dyDescent="0.2">
      <c r="A1516" s="728">
        <v>44488</v>
      </c>
      <c r="B1516" s="331">
        <f t="shared" si="14"/>
        <v>314618.64</v>
      </c>
      <c r="C1516" s="331">
        <v>314418.64</v>
      </c>
      <c r="D1516" s="479">
        <v>200</v>
      </c>
    </row>
    <row r="1517" spans="1:4" x14ac:dyDescent="0.2">
      <c r="A1517" s="728">
        <v>44489</v>
      </c>
      <c r="B1517" s="331">
        <f t="shared" si="14"/>
        <v>312798.90999999997</v>
      </c>
      <c r="C1517" s="331">
        <v>312598.90999999997</v>
      </c>
      <c r="D1517" s="479">
        <v>200</v>
      </c>
    </row>
    <row r="1518" spans="1:4" x14ac:dyDescent="0.2">
      <c r="A1518" s="728">
        <v>44490</v>
      </c>
      <c r="B1518" s="331">
        <f t="shared" si="14"/>
        <v>312798.90999999997</v>
      </c>
      <c r="C1518" s="331">
        <f t="shared" si="15"/>
        <v>312598.90999999997</v>
      </c>
      <c r="D1518" s="479">
        <v>200</v>
      </c>
    </row>
    <row r="1519" spans="1:4" x14ac:dyDescent="0.2">
      <c r="A1519" s="728">
        <v>44491</v>
      </c>
      <c r="B1519" s="331">
        <f t="shared" si="14"/>
        <v>312852.06</v>
      </c>
      <c r="C1519" s="331">
        <v>312652.06</v>
      </c>
      <c r="D1519" s="479">
        <v>200</v>
      </c>
    </row>
    <row r="1520" spans="1:4" x14ac:dyDescent="0.2">
      <c r="A1520" s="728">
        <v>44494</v>
      </c>
      <c r="B1520" s="331">
        <f t="shared" si="14"/>
        <v>276164.93</v>
      </c>
      <c r="C1520" s="331">
        <v>275964.93</v>
      </c>
      <c r="D1520" s="479">
        <v>200</v>
      </c>
    </row>
    <row r="1521" spans="1:4" x14ac:dyDescent="0.2">
      <c r="A1521" s="728">
        <v>44495</v>
      </c>
      <c r="B1521" s="331">
        <f t="shared" ref="B1521:B1584" si="16">C1521+D1521</f>
        <v>272175.64</v>
      </c>
      <c r="C1521" s="331">
        <v>271975.64</v>
      </c>
      <c r="D1521" s="479">
        <v>200</v>
      </c>
    </row>
    <row r="1522" spans="1:4" x14ac:dyDescent="0.2">
      <c r="A1522" s="728">
        <v>44496</v>
      </c>
      <c r="B1522" s="331">
        <f t="shared" si="16"/>
        <v>272175.64</v>
      </c>
      <c r="C1522" s="331">
        <f t="shared" si="15"/>
        <v>271975.64</v>
      </c>
      <c r="D1522" s="479">
        <v>200</v>
      </c>
    </row>
    <row r="1523" spans="1:4" x14ac:dyDescent="0.2">
      <c r="A1523" s="728">
        <v>44497</v>
      </c>
      <c r="B1523" s="331">
        <f t="shared" si="16"/>
        <v>272474.64</v>
      </c>
      <c r="C1523" s="331">
        <v>272274.64</v>
      </c>
      <c r="D1523" s="479">
        <v>200</v>
      </c>
    </row>
    <row r="1524" spans="1:4" x14ac:dyDescent="0.2">
      <c r="A1524" s="728">
        <v>44498</v>
      </c>
      <c r="B1524" s="331">
        <f t="shared" si="16"/>
        <v>272174.19</v>
      </c>
      <c r="C1524" s="331">
        <v>271974.19</v>
      </c>
      <c r="D1524" s="479">
        <v>200</v>
      </c>
    </row>
    <row r="1525" spans="1:4" x14ac:dyDescent="0.2">
      <c r="A1525" s="728">
        <v>44501</v>
      </c>
      <c r="B1525" s="331">
        <f t="shared" si="16"/>
        <v>272174.19</v>
      </c>
      <c r="C1525" s="331">
        <f>C1524</f>
        <v>271974.19</v>
      </c>
      <c r="D1525" s="479">
        <v>200</v>
      </c>
    </row>
    <row r="1526" spans="1:4" x14ac:dyDescent="0.2">
      <c r="A1526" s="728">
        <v>44502</v>
      </c>
      <c r="B1526" s="331">
        <f t="shared" si="16"/>
        <v>272174.19</v>
      </c>
      <c r="C1526" s="331">
        <f t="shared" ref="C1526:C1564" si="17">C1525</f>
        <v>271974.19</v>
      </c>
      <c r="D1526" s="479">
        <v>200</v>
      </c>
    </row>
    <row r="1527" spans="1:4" x14ac:dyDescent="0.2">
      <c r="A1527" s="728">
        <v>44503</v>
      </c>
      <c r="B1527" s="331">
        <f t="shared" si="16"/>
        <v>260821.81</v>
      </c>
      <c r="C1527" s="331">
        <v>260621.81</v>
      </c>
      <c r="D1527" s="479">
        <v>200</v>
      </c>
    </row>
    <row r="1528" spans="1:4" x14ac:dyDescent="0.2">
      <c r="A1528" s="728">
        <v>44504</v>
      </c>
      <c r="B1528" s="331">
        <f t="shared" si="16"/>
        <v>260821.81</v>
      </c>
      <c r="C1528" s="331">
        <f t="shared" si="17"/>
        <v>260621.81</v>
      </c>
      <c r="D1528" s="479">
        <v>200</v>
      </c>
    </row>
    <row r="1529" spans="1:4" x14ac:dyDescent="0.2">
      <c r="A1529" s="728">
        <v>44505</v>
      </c>
      <c r="B1529" s="331">
        <f t="shared" si="16"/>
        <v>260821.81</v>
      </c>
      <c r="C1529" s="331">
        <f t="shared" si="17"/>
        <v>260621.81</v>
      </c>
      <c r="D1529" s="479">
        <v>200</v>
      </c>
    </row>
    <row r="1530" spans="1:4" x14ac:dyDescent="0.2">
      <c r="A1530" s="728">
        <v>44508</v>
      </c>
      <c r="B1530" s="364">
        <f t="shared" si="16"/>
        <v>224274.32</v>
      </c>
      <c r="C1530" s="331">
        <v>224074.32</v>
      </c>
      <c r="D1530" s="479">
        <v>200</v>
      </c>
    </row>
    <row r="1531" spans="1:4" x14ac:dyDescent="0.2">
      <c r="A1531" s="728">
        <v>44509</v>
      </c>
      <c r="B1531" s="331">
        <f t="shared" si="16"/>
        <v>239871.56</v>
      </c>
      <c r="C1531" s="331">
        <v>239671.56</v>
      </c>
      <c r="D1531" s="479">
        <v>200</v>
      </c>
    </row>
    <row r="1532" spans="1:4" x14ac:dyDescent="0.2">
      <c r="A1532" s="728">
        <v>44510</v>
      </c>
      <c r="B1532" s="331">
        <f t="shared" si="16"/>
        <v>260426.56</v>
      </c>
      <c r="C1532" s="331">
        <v>260226.56</v>
      </c>
      <c r="D1532" s="479">
        <v>200</v>
      </c>
    </row>
    <row r="1533" spans="1:4" x14ac:dyDescent="0.2">
      <c r="A1533" s="728">
        <v>44511</v>
      </c>
      <c r="B1533" s="331">
        <f t="shared" si="16"/>
        <v>260426.56</v>
      </c>
      <c r="C1533" s="331">
        <f t="shared" si="17"/>
        <v>260226.56</v>
      </c>
      <c r="D1533" s="479">
        <v>200</v>
      </c>
    </row>
    <row r="1534" spans="1:4" x14ac:dyDescent="0.2">
      <c r="A1534" s="728">
        <v>44512</v>
      </c>
      <c r="B1534" s="331">
        <f t="shared" si="16"/>
        <v>260450.57</v>
      </c>
      <c r="C1534" s="331">
        <v>260250.57</v>
      </c>
      <c r="D1534" s="479">
        <v>200</v>
      </c>
    </row>
    <row r="1535" spans="1:4" x14ac:dyDescent="0.2">
      <c r="A1535" s="728">
        <v>44515</v>
      </c>
      <c r="B1535" s="331">
        <f t="shared" si="16"/>
        <v>260178.68</v>
      </c>
      <c r="C1535" s="331">
        <v>259978.68</v>
      </c>
      <c r="D1535" s="479">
        <v>200</v>
      </c>
    </row>
    <row r="1536" spans="1:4" x14ac:dyDescent="0.2">
      <c r="A1536" s="728">
        <v>44516</v>
      </c>
      <c r="B1536" s="331">
        <f t="shared" si="16"/>
        <v>260178.68</v>
      </c>
      <c r="C1536" s="331">
        <f t="shared" si="17"/>
        <v>259978.68</v>
      </c>
      <c r="D1536" s="479">
        <v>200</v>
      </c>
    </row>
    <row r="1537" spans="1:4" x14ac:dyDescent="0.2">
      <c r="A1537" s="728">
        <v>44517</v>
      </c>
      <c r="B1537" s="331">
        <f t="shared" si="16"/>
        <v>260178.68</v>
      </c>
      <c r="C1537" s="331">
        <f t="shared" si="17"/>
        <v>259978.68</v>
      </c>
      <c r="D1537" s="479">
        <v>200</v>
      </c>
    </row>
    <row r="1538" spans="1:4" x14ac:dyDescent="0.2">
      <c r="A1538" s="728">
        <v>44518</v>
      </c>
      <c r="B1538" s="331">
        <f t="shared" si="16"/>
        <v>298441.25</v>
      </c>
      <c r="C1538" s="331">
        <v>298241.25</v>
      </c>
      <c r="D1538" s="479">
        <v>200</v>
      </c>
    </row>
    <row r="1539" spans="1:4" x14ac:dyDescent="0.2">
      <c r="A1539" s="728">
        <v>44519</v>
      </c>
      <c r="B1539" s="331">
        <f t="shared" si="16"/>
        <v>302391.25</v>
      </c>
      <c r="C1539" s="331">
        <v>302191.25</v>
      </c>
      <c r="D1539" s="479">
        <v>200</v>
      </c>
    </row>
    <row r="1540" spans="1:4" x14ac:dyDescent="0.2">
      <c r="A1540" s="728">
        <v>44522</v>
      </c>
      <c r="B1540" s="331">
        <f t="shared" si="16"/>
        <v>261860.06</v>
      </c>
      <c r="C1540" s="331">
        <v>261660.06</v>
      </c>
      <c r="D1540" s="479">
        <v>200</v>
      </c>
    </row>
    <row r="1541" spans="1:4" x14ac:dyDescent="0.2">
      <c r="A1541" s="728">
        <v>44523</v>
      </c>
      <c r="B1541" s="331">
        <f t="shared" si="16"/>
        <v>261860.06</v>
      </c>
      <c r="C1541" s="331">
        <f t="shared" si="17"/>
        <v>261660.06</v>
      </c>
      <c r="D1541" s="479">
        <v>200</v>
      </c>
    </row>
    <row r="1542" spans="1:4" x14ac:dyDescent="0.2">
      <c r="A1542" s="728">
        <v>44524</v>
      </c>
      <c r="B1542" s="331">
        <f t="shared" si="16"/>
        <v>336740.96</v>
      </c>
      <c r="C1542" s="331">
        <v>336540.96</v>
      </c>
      <c r="D1542" s="479">
        <v>200</v>
      </c>
    </row>
    <row r="1543" spans="1:4" x14ac:dyDescent="0.2">
      <c r="A1543" s="728">
        <v>44525</v>
      </c>
      <c r="B1543" s="331">
        <f t="shared" si="16"/>
        <v>336740.96</v>
      </c>
      <c r="C1543" s="331">
        <f t="shared" si="17"/>
        <v>336540.96</v>
      </c>
      <c r="D1543" s="479">
        <v>200</v>
      </c>
    </row>
    <row r="1544" spans="1:4" x14ac:dyDescent="0.2">
      <c r="A1544" s="728">
        <v>44526</v>
      </c>
      <c r="B1544" s="331">
        <f t="shared" si="16"/>
        <v>396383.57</v>
      </c>
      <c r="C1544" s="331">
        <v>396183.57</v>
      </c>
      <c r="D1544" s="479">
        <v>200</v>
      </c>
    </row>
    <row r="1545" spans="1:4" x14ac:dyDescent="0.2">
      <c r="A1545" s="728">
        <v>44529</v>
      </c>
      <c r="B1545" s="331">
        <f t="shared" si="16"/>
        <v>396383.57</v>
      </c>
      <c r="C1545" s="331">
        <f t="shared" si="17"/>
        <v>396183.57</v>
      </c>
      <c r="D1545" s="479">
        <v>200</v>
      </c>
    </row>
    <row r="1546" spans="1:4" x14ac:dyDescent="0.2">
      <c r="A1546" s="728">
        <v>44530</v>
      </c>
      <c r="B1546" s="331">
        <f t="shared" si="16"/>
        <v>396383.57</v>
      </c>
      <c r="C1546" s="331">
        <f t="shared" si="17"/>
        <v>396183.57</v>
      </c>
      <c r="D1546" s="479">
        <v>200</v>
      </c>
    </row>
    <row r="1547" spans="1:4" x14ac:dyDescent="0.2">
      <c r="A1547" s="728">
        <v>44531</v>
      </c>
      <c r="B1547" s="331">
        <f t="shared" si="16"/>
        <v>406646.33</v>
      </c>
      <c r="C1547" s="331">
        <v>406446.33</v>
      </c>
      <c r="D1547" s="479">
        <v>200</v>
      </c>
    </row>
    <row r="1548" spans="1:4" x14ac:dyDescent="0.2">
      <c r="A1548" s="728">
        <v>44532</v>
      </c>
      <c r="B1548" s="331">
        <f t="shared" si="16"/>
        <v>406646.33</v>
      </c>
      <c r="C1548" s="331">
        <f t="shared" si="17"/>
        <v>406446.33</v>
      </c>
      <c r="D1548" s="479">
        <v>200</v>
      </c>
    </row>
    <row r="1549" spans="1:4" x14ac:dyDescent="0.2">
      <c r="A1549" s="728">
        <v>44533</v>
      </c>
      <c r="B1549" s="331">
        <f t="shared" si="16"/>
        <v>402705.53</v>
      </c>
      <c r="C1549" s="331">
        <v>402505.53</v>
      </c>
      <c r="D1549" s="479">
        <v>200</v>
      </c>
    </row>
    <row r="1550" spans="1:4" x14ac:dyDescent="0.2">
      <c r="A1550" s="728">
        <v>44536</v>
      </c>
      <c r="B1550" s="331">
        <f t="shared" si="16"/>
        <v>402705.53</v>
      </c>
      <c r="C1550" s="331">
        <f t="shared" si="17"/>
        <v>402505.53</v>
      </c>
      <c r="D1550" s="479">
        <v>200</v>
      </c>
    </row>
    <row r="1551" spans="1:4" x14ac:dyDescent="0.2">
      <c r="A1551" s="728">
        <v>44537</v>
      </c>
      <c r="B1551" s="331">
        <f t="shared" si="16"/>
        <v>367227.88</v>
      </c>
      <c r="C1551" s="331">
        <v>367027.88</v>
      </c>
      <c r="D1551" s="479">
        <v>200</v>
      </c>
    </row>
    <row r="1552" spans="1:4" x14ac:dyDescent="0.2">
      <c r="A1552" s="728">
        <v>44538</v>
      </c>
      <c r="B1552" s="331">
        <f t="shared" si="16"/>
        <v>367227.88</v>
      </c>
      <c r="C1552" s="331">
        <f t="shared" si="17"/>
        <v>367027.88</v>
      </c>
      <c r="D1552" s="479">
        <v>200</v>
      </c>
    </row>
    <row r="1553" spans="1:4" x14ac:dyDescent="0.2">
      <c r="A1553" s="728">
        <v>44539</v>
      </c>
      <c r="B1553" s="331">
        <f t="shared" si="16"/>
        <v>361816.56</v>
      </c>
      <c r="C1553" s="331">
        <v>361616.56</v>
      </c>
      <c r="D1553" s="479">
        <v>200</v>
      </c>
    </row>
    <row r="1554" spans="1:4" x14ac:dyDescent="0.2">
      <c r="A1554" s="728">
        <v>44540</v>
      </c>
      <c r="B1554" s="331">
        <f t="shared" si="16"/>
        <v>363428.01</v>
      </c>
      <c r="C1554" s="331">
        <v>363228.01</v>
      </c>
      <c r="D1554" s="479">
        <v>200</v>
      </c>
    </row>
    <row r="1555" spans="1:4" x14ac:dyDescent="0.2">
      <c r="A1555" s="728">
        <v>44543</v>
      </c>
      <c r="B1555" s="331">
        <f t="shared" si="16"/>
        <v>363428.01</v>
      </c>
      <c r="C1555" s="331">
        <f t="shared" si="17"/>
        <v>363228.01</v>
      </c>
      <c r="D1555" s="479">
        <v>200</v>
      </c>
    </row>
    <row r="1556" spans="1:4" x14ac:dyDescent="0.2">
      <c r="A1556" s="728">
        <v>44544</v>
      </c>
      <c r="B1556" s="331">
        <f t="shared" si="16"/>
        <v>388311.01</v>
      </c>
      <c r="C1556" s="331">
        <v>388111.01</v>
      </c>
      <c r="D1556" s="479">
        <v>200</v>
      </c>
    </row>
    <row r="1557" spans="1:4" x14ac:dyDescent="0.2">
      <c r="A1557" s="728">
        <v>44545</v>
      </c>
      <c r="B1557" s="331">
        <f t="shared" si="16"/>
        <v>388648.09</v>
      </c>
      <c r="C1557" s="331">
        <v>388448.09</v>
      </c>
      <c r="D1557" s="479">
        <v>200</v>
      </c>
    </row>
    <row r="1558" spans="1:4" x14ac:dyDescent="0.2">
      <c r="A1558" s="728">
        <v>44546</v>
      </c>
      <c r="B1558" s="331">
        <f t="shared" si="16"/>
        <v>388648.09</v>
      </c>
      <c r="C1558" s="331">
        <f t="shared" si="17"/>
        <v>388448.09</v>
      </c>
      <c r="D1558" s="479">
        <v>200</v>
      </c>
    </row>
    <row r="1559" spans="1:4" x14ac:dyDescent="0.2">
      <c r="A1559" s="728">
        <v>44547</v>
      </c>
      <c r="B1559" s="331">
        <f t="shared" si="16"/>
        <v>388648.09</v>
      </c>
      <c r="C1559" s="331">
        <f t="shared" si="17"/>
        <v>388448.09</v>
      </c>
      <c r="D1559" s="479">
        <v>200</v>
      </c>
    </row>
    <row r="1560" spans="1:4" x14ac:dyDescent="0.2">
      <c r="A1560" s="728">
        <v>44550</v>
      </c>
      <c r="B1560" s="331">
        <f t="shared" si="16"/>
        <v>402388.44</v>
      </c>
      <c r="C1560" s="331">
        <v>402188.44</v>
      </c>
      <c r="D1560" s="479">
        <v>200</v>
      </c>
    </row>
    <row r="1561" spans="1:4" x14ac:dyDescent="0.2">
      <c r="A1561" s="728">
        <v>44551</v>
      </c>
      <c r="B1561" s="331">
        <f t="shared" si="16"/>
        <v>364870.61</v>
      </c>
      <c r="C1561" s="331">
        <v>364670.61</v>
      </c>
      <c r="D1561" s="479">
        <v>200</v>
      </c>
    </row>
    <row r="1562" spans="1:4" x14ac:dyDescent="0.2">
      <c r="A1562" s="728">
        <v>44552</v>
      </c>
      <c r="B1562" s="331">
        <f t="shared" si="16"/>
        <v>364870.61</v>
      </c>
      <c r="C1562" s="331">
        <f t="shared" si="17"/>
        <v>364670.61</v>
      </c>
      <c r="D1562" s="479">
        <v>200</v>
      </c>
    </row>
    <row r="1563" spans="1:4" x14ac:dyDescent="0.2">
      <c r="A1563" s="728">
        <v>44553</v>
      </c>
      <c r="B1563" s="331">
        <f t="shared" si="16"/>
        <v>364270.61</v>
      </c>
      <c r="C1563" s="331">
        <v>364070.61</v>
      </c>
      <c r="D1563" s="479">
        <v>200</v>
      </c>
    </row>
    <row r="1564" spans="1:4" x14ac:dyDescent="0.2">
      <c r="A1564" s="728">
        <v>44554</v>
      </c>
      <c r="B1564" s="331">
        <f t="shared" si="16"/>
        <v>364270.61</v>
      </c>
      <c r="C1564" s="331">
        <f t="shared" si="17"/>
        <v>364070.61</v>
      </c>
      <c r="D1564" s="479">
        <v>200</v>
      </c>
    </row>
    <row r="1565" spans="1:4" x14ac:dyDescent="0.2">
      <c r="A1565" s="728">
        <v>44557</v>
      </c>
      <c r="B1565" s="331">
        <f t="shared" si="16"/>
        <v>364511.61</v>
      </c>
      <c r="C1565" s="331">
        <v>364311.61</v>
      </c>
      <c r="D1565" s="479">
        <v>200</v>
      </c>
    </row>
    <row r="1566" spans="1:4" x14ac:dyDescent="0.2">
      <c r="A1566" s="728">
        <v>44558</v>
      </c>
      <c r="B1566" s="331">
        <f t="shared" si="16"/>
        <v>366287.78</v>
      </c>
      <c r="C1566" s="331">
        <v>366087.78</v>
      </c>
      <c r="D1566" s="479">
        <v>200</v>
      </c>
    </row>
    <row r="1567" spans="1:4" x14ac:dyDescent="0.2">
      <c r="A1567" s="728">
        <v>44559</v>
      </c>
      <c r="B1567" s="331">
        <f t="shared" si="16"/>
        <v>406505.93</v>
      </c>
      <c r="C1567" s="331">
        <v>406305.93</v>
      </c>
      <c r="D1567" s="479">
        <v>200</v>
      </c>
    </row>
    <row r="1568" spans="1:4" x14ac:dyDescent="0.2">
      <c r="A1568" s="728">
        <v>44560</v>
      </c>
      <c r="B1568" s="331">
        <f>C1568+D1568</f>
        <v>406602.93</v>
      </c>
      <c r="C1568" s="331">
        <v>406402.93</v>
      </c>
      <c r="D1568" s="479">
        <v>200</v>
      </c>
    </row>
    <row r="1569" spans="1:4" x14ac:dyDescent="0.2">
      <c r="A1569" s="728">
        <v>44561</v>
      </c>
      <c r="B1569" s="331">
        <f t="shared" si="16"/>
        <v>406700.45</v>
      </c>
      <c r="C1569" s="331">
        <v>406500.45</v>
      </c>
      <c r="D1569" s="479">
        <v>200</v>
      </c>
    </row>
    <row r="1570" spans="1:4" x14ac:dyDescent="0.2">
      <c r="A1570" s="728">
        <v>44564</v>
      </c>
      <c r="B1570" s="331">
        <f t="shared" si="16"/>
        <v>406650.45</v>
      </c>
      <c r="C1570" s="331">
        <v>406450.45</v>
      </c>
      <c r="D1570" s="479">
        <v>200</v>
      </c>
    </row>
    <row r="1571" spans="1:4" x14ac:dyDescent="0.2">
      <c r="A1571" s="728">
        <v>44565</v>
      </c>
      <c r="B1571" s="331">
        <f t="shared" si="16"/>
        <v>372842.39</v>
      </c>
      <c r="C1571" s="331">
        <v>372642.39</v>
      </c>
      <c r="D1571" s="479">
        <v>200</v>
      </c>
    </row>
    <row r="1572" spans="1:4" x14ac:dyDescent="0.2">
      <c r="A1572" s="728">
        <v>44566</v>
      </c>
      <c r="B1572" s="331">
        <f t="shared" si="16"/>
        <v>370078.36</v>
      </c>
      <c r="C1572" s="331">
        <v>369878.36</v>
      </c>
      <c r="D1572" s="479">
        <v>200</v>
      </c>
    </row>
    <row r="1573" spans="1:4" x14ac:dyDescent="0.2">
      <c r="A1573" s="728">
        <v>44567</v>
      </c>
      <c r="B1573" s="331">
        <f t="shared" si="16"/>
        <v>368257.32</v>
      </c>
      <c r="C1573" s="331">
        <v>368057.32</v>
      </c>
      <c r="D1573" s="479">
        <v>200</v>
      </c>
    </row>
    <row r="1574" spans="1:4" x14ac:dyDescent="0.2">
      <c r="A1574" s="728">
        <v>44568</v>
      </c>
      <c r="B1574" s="331">
        <f t="shared" si="16"/>
        <v>369146.3</v>
      </c>
      <c r="C1574" s="331">
        <v>368946.3</v>
      </c>
      <c r="D1574" s="479">
        <v>200</v>
      </c>
    </row>
    <row r="1575" spans="1:4" x14ac:dyDescent="0.2">
      <c r="A1575" s="728">
        <v>44571</v>
      </c>
      <c r="B1575" s="331">
        <f t="shared" si="16"/>
        <v>369146.3</v>
      </c>
      <c r="C1575" s="331">
        <f t="shared" ref="C1575:C1637" si="18">C1574</f>
        <v>368946.3</v>
      </c>
      <c r="D1575" s="479">
        <v>200</v>
      </c>
    </row>
    <row r="1576" spans="1:4" x14ac:dyDescent="0.2">
      <c r="A1576" s="728">
        <v>44572</v>
      </c>
      <c r="B1576" s="331">
        <f t="shared" si="16"/>
        <v>369146.3</v>
      </c>
      <c r="C1576" s="331">
        <f t="shared" si="18"/>
        <v>368946.3</v>
      </c>
      <c r="D1576" s="479">
        <v>200</v>
      </c>
    </row>
    <row r="1577" spans="1:4" x14ac:dyDescent="0.2">
      <c r="A1577" s="728">
        <v>44573</v>
      </c>
      <c r="B1577" s="331">
        <f t="shared" si="16"/>
        <v>369146.3</v>
      </c>
      <c r="C1577" s="331">
        <f t="shared" si="18"/>
        <v>368946.3</v>
      </c>
      <c r="D1577" s="479">
        <v>200</v>
      </c>
    </row>
    <row r="1578" spans="1:4" x14ac:dyDescent="0.2">
      <c r="A1578" s="728">
        <v>44574</v>
      </c>
      <c r="B1578" s="331">
        <f t="shared" si="16"/>
        <v>369318.3</v>
      </c>
      <c r="C1578" s="331">
        <v>369118.3</v>
      </c>
      <c r="D1578" s="479">
        <v>200</v>
      </c>
    </row>
    <row r="1579" spans="1:4" x14ac:dyDescent="0.2">
      <c r="A1579" s="728">
        <v>44575</v>
      </c>
      <c r="B1579" s="331">
        <f t="shared" si="16"/>
        <v>369357.16</v>
      </c>
      <c r="C1579" s="331">
        <v>369157.16</v>
      </c>
      <c r="D1579" s="479">
        <v>200</v>
      </c>
    </row>
    <row r="1580" spans="1:4" x14ac:dyDescent="0.2">
      <c r="A1580" s="728">
        <v>44578</v>
      </c>
      <c r="B1580" s="331">
        <f t="shared" si="16"/>
        <v>369357.16</v>
      </c>
      <c r="C1580" s="331">
        <f t="shared" si="18"/>
        <v>369157.16</v>
      </c>
      <c r="D1580" s="479">
        <v>200</v>
      </c>
    </row>
    <row r="1581" spans="1:4" x14ac:dyDescent="0.2">
      <c r="A1581" s="728">
        <v>44579</v>
      </c>
      <c r="B1581" s="331">
        <f t="shared" si="16"/>
        <v>328912.42</v>
      </c>
      <c r="C1581" s="331">
        <v>328712.42</v>
      </c>
      <c r="D1581" s="479">
        <v>200</v>
      </c>
    </row>
    <row r="1582" spans="1:4" x14ac:dyDescent="0.2">
      <c r="A1582" s="728">
        <v>44580</v>
      </c>
      <c r="B1582" s="331">
        <f t="shared" si="16"/>
        <v>324854.01</v>
      </c>
      <c r="C1582" s="331">
        <v>324654.01</v>
      </c>
      <c r="D1582" s="479">
        <v>200</v>
      </c>
    </row>
    <row r="1583" spans="1:4" x14ac:dyDescent="0.2">
      <c r="A1583" s="728">
        <v>44581</v>
      </c>
      <c r="B1583" s="331">
        <f t="shared" si="16"/>
        <v>373026.22</v>
      </c>
      <c r="C1583" s="331">
        <v>372826.22</v>
      </c>
      <c r="D1583" s="479">
        <v>200</v>
      </c>
    </row>
    <row r="1584" spans="1:4" ht="12.75" customHeight="1" x14ac:dyDescent="0.2">
      <c r="A1584" s="728">
        <v>44582</v>
      </c>
      <c r="B1584" s="331">
        <f t="shared" si="16"/>
        <v>372715.39</v>
      </c>
      <c r="C1584" s="331">
        <v>372515.39</v>
      </c>
      <c r="D1584" s="479">
        <v>200</v>
      </c>
    </row>
    <row r="1585" spans="1:4" x14ac:dyDescent="0.2">
      <c r="A1585" s="728">
        <v>44585</v>
      </c>
      <c r="B1585" s="331">
        <f t="shared" ref="B1585:B1648" si="19">C1585+D1585</f>
        <v>352413.78</v>
      </c>
      <c r="C1585" s="331">
        <v>352213.78</v>
      </c>
      <c r="D1585" s="479">
        <v>200</v>
      </c>
    </row>
    <row r="1586" spans="1:4" x14ac:dyDescent="0.2">
      <c r="A1586" s="728">
        <v>44586</v>
      </c>
      <c r="B1586" s="331">
        <f t="shared" si="19"/>
        <v>324543.71999999997</v>
      </c>
      <c r="C1586" s="331">
        <v>324343.71999999997</v>
      </c>
      <c r="D1586" s="479">
        <v>200</v>
      </c>
    </row>
    <row r="1587" spans="1:4" x14ac:dyDescent="0.2">
      <c r="A1587" s="728">
        <v>44587</v>
      </c>
      <c r="B1587" s="331">
        <f t="shared" si="19"/>
        <v>324510.76</v>
      </c>
      <c r="C1587" s="331">
        <v>324310.76</v>
      </c>
      <c r="D1587" s="479">
        <v>200</v>
      </c>
    </row>
    <row r="1588" spans="1:4" x14ac:dyDescent="0.2">
      <c r="A1588" s="728">
        <v>44588</v>
      </c>
      <c r="B1588" s="331">
        <f t="shared" si="19"/>
        <v>290902.11</v>
      </c>
      <c r="C1588" s="331">
        <v>290702.11</v>
      </c>
      <c r="D1588" s="479">
        <v>200</v>
      </c>
    </row>
    <row r="1589" spans="1:4" x14ac:dyDescent="0.2">
      <c r="A1589" s="728">
        <v>44589</v>
      </c>
      <c r="B1589" s="331">
        <f t="shared" si="19"/>
        <v>290902.11</v>
      </c>
      <c r="C1589" s="331">
        <f t="shared" si="18"/>
        <v>290702.11</v>
      </c>
      <c r="D1589" s="479">
        <v>200</v>
      </c>
    </row>
    <row r="1590" spans="1:4" x14ac:dyDescent="0.2">
      <c r="A1590" s="728">
        <v>44592</v>
      </c>
      <c r="B1590" s="331">
        <f t="shared" si="19"/>
        <v>309578.59999999998</v>
      </c>
      <c r="C1590" s="331">
        <v>309378.59999999998</v>
      </c>
      <c r="D1590" s="479">
        <v>200</v>
      </c>
    </row>
    <row r="1591" spans="1:4" x14ac:dyDescent="0.2">
      <c r="A1591" s="728">
        <v>44593</v>
      </c>
      <c r="B1591" s="331">
        <f t="shared" si="19"/>
        <v>292963.95</v>
      </c>
      <c r="C1591" s="331">
        <v>292763.95</v>
      </c>
      <c r="D1591" s="479">
        <v>200</v>
      </c>
    </row>
    <row r="1592" spans="1:4" x14ac:dyDescent="0.2">
      <c r="A1592" s="728">
        <v>44594</v>
      </c>
      <c r="B1592" s="331">
        <f t="shared" si="19"/>
        <v>345714.5</v>
      </c>
      <c r="C1592" s="331">
        <v>345514.5</v>
      </c>
      <c r="D1592" s="479">
        <v>200</v>
      </c>
    </row>
    <row r="1593" spans="1:4" x14ac:dyDescent="0.2">
      <c r="A1593" s="728">
        <v>44595</v>
      </c>
      <c r="B1593" s="331">
        <f t="shared" si="19"/>
        <v>344030.58</v>
      </c>
      <c r="C1593" s="331">
        <v>343830.58</v>
      </c>
      <c r="D1593" s="479">
        <v>200</v>
      </c>
    </row>
    <row r="1594" spans="1:4" x14ac:dyDescent="0.2">
      <c r="A1594" s="728">
        <v>44596</v>
      </c>
      <c r="B1594" s="331">
        <f t="shared" si="19"/>
        <v>387503.42</v>
      </c>
      <c r="C1594" s="331">
        <v>387303.42</v>
      </c>
      <c r="D1594" s="479">
        <v>200</v>
      </c>
    </row>
    <row r="1595" spans="1:4" x14ac:dyDescent="0.2">
      <c r="A1595" s="728">
        <v>44599</v>
      </c>
      <c r="B1595" s="331">
        <f t="shared" si="19"/>
        <v>387503.42</v>
      </c>
      <c r="C1595" s="331">
        <f t="shared" si="18"/>
        <v>387303.42</v>
      </c>
      <c r="D1595" s="479">
        <v>200</v>
      </c>
    </row>
    <row r="1596" spans="1:4" x14ac:dyDescent="0.2">
      <c r="A1596" s="728">
        <v>44600</v>
      </c>
      <c r="B1596" s="331">
        <f t="shared" si="19"/>
        <v>387503.42</v>
      </c>
      <c r="C1596" s="331">
        <f t="shared" si="18"/>
        <v>387303.42</v>
      </c>
      <c r="D1596" s="479">
        <v>200</v>
      </c>
    </row>
    <row r="1597" spans="1:4" x14ac:dyDescent="0.2">
      <c r="A1597" s="728">
        <v>44601</v>
      </c>
      <c r="B1597" s="331">
        <f t="shared" si="19"/>
        <v>387503.42</v>
      </c>
      <c r="C1597" s="331">
        <f t="shared" si="18"/>
        <v>387303.42</v>
      </c>
      <c r="D1597" s="479">
        <v>200</v>
      </c>
    </row>
    <row r="1598" spans="1:4" x14ac:dyDescent="0.2">
      <c r="A1598" s="728">
        <v>44602</v>
      </c>
      <c r="B1598" s="364">
        <f t="shared" si="19"/>
        <v>411517.59</v>
      </c>
      <c r="C1598" s="331">
        <v>411317.59</v>
      </c>
      <c r="D1598" s="479">
        <v>200</v>
      </c>
    </row>
    <row r="1599" spans="1:4" x14ac:dyDescent="0.2">
      <c r="A1599" s="728">
        <v>44603</v>
      </c>
      <c r="B1599" s="331">
        <f t="shared" si="19"/>
        <v>388476.71</v>
      </c>
      <c r="C1599" s="331">
        <v>388276.71</v>
      </c>
      <c r="D1599" s="479">
        <v>200</v>
      </c>
    </row>
    <row r="1600" spans="1:4" x14ac:dyDescent="0.2">
      <c r="A1600" s="728">
        <v>44606</v>
      </c>
      <c r="B1600" s="331">
        <f t="shared" si="19"/>
        <v>388476.71</v>
      </c>
      <c r="C1600" s="331">
        <f t="shared" si="18"/>
        <v>388276.71</v>
      </c>
      <c r="D1600" s="479">
        <v>200</v>
      </c>
    </row>
    <row r="1601" spans="1:4" x14ac:dyDescent="0.2">
      <c r="A1601" s="728">
        <v>44607</v>
      </c>
      <c r="B1601" s="331">
        <f t="shared" si="19"/>
        <v>350398.25</v>
      </c>
      <c r="C1601" s="331">
        <v>350198.25</v>
      </c>
      <c r="D1601" s="479">
        <v>200</v>
      </c>
    </row>
    <row r="1602" spans="1:4" x14ac:dyDescent="0.2">
      <c r="A1602" s="728">
        <v>44608</v>
      </c>
      <c r="B1602" s="331">
        <f t="shared" si="19"/>
        <v>350398.25</v>
      </c>
      <c r="C1602" s="331">
        <f t="shared" si="18"/>
        <v>350198.25</v>
      </c>
      <c r="D1602" s="479">
        <v>200</v>
      </c>
    </row>
    <row r="1603" spans="1:4" x14ac:dyDescent="0.2">
      <c r="A1603" s="728">
        <v>44609</v>
      </c>
      <c r="B1603" s="331">
        <f t="shared" si="19"/>
        <v>329726.17</v>
      </c>
      <c r="C1603" s="331">
        <v>329526.17</v>
      </c>
      <c r="D1603" s="479">
        <v>200</v>
      </c>
    </row>
    <row r="1604" spans="1:4" x14ac:dyDescent="0.2">
      <c r="A1604" s="728">
        <v>44610</v>
      </c>
      <c r="B1604" s="331">
        <f t="shared" si="19"/>
        <v>329566.19</v>
      </c>
      <c r="C1604" s="331">
        <v>329366.19</v>
      </c>
      <c r="D1604" s="479">
        <v>200</v>
      </c>
    </row>
    <row r="1605" spans="1:4" x14ac:dyDescent="0.2">
      <c r="A1605" s="728">
        <v>44613</v>
      </c>
      <c r="B1605" s="331">
        <f t="shared" si="19"/>
        <v>329566.19</v>
      </c>
      <c r="C1605" s="331">
        <f t="shared" si="18"/>
        <v>329366.19</v>
      </c>
      <c r="D1605" s="479">
        <v>200</v>
      </c>
    </row>
    <row r="1606" spans="1:4" x14ac:dyDescent="0.2">
      <c r="A1606" s="728">
        <v>44614</v>
      </c>
      <c r="B1606" s="331">
        <f t="shared" si="19"/>
        <v>329566.19</v>
      </c>
      <c r="C1606" s="331">
        <f t="shared" si="18"/>
        <v>329366.19</v>
      </c>
      <c r="D1606" s="479">
        <v>200</v>
      </c>
    </row>
    <row r="1607" spans="1:4" x14ac:dyDescent="0.2">
      <c r="A1607" s="728">
        <v>44615</v>
      </c>
      <c r="B1607" s="331">
        <f t="shared" si="19"/>
        <v>330827.17</v>
      </c>
      <c r="C1607" s="331">
        <v>330627.17</v>
      </c>
      <c r="D1607" s="479">
        <v>200</v>
      </c>
    </row>
    <row r="1608" spans="1:4" x14ac:dyDescent="0.2">
      <c r="A1608" s="728">
        <v>44616</v>
      </c>
      <c r="B1608" s="331">
        <f t="shared" si="19"/>
        <v>331382.17</v>
      </c>
      <c r="C1608" s="331">
        <v>331182.17</v>
      </c>
      <c r="D1608" s="479">
        <v>200</v>
      </c>
    </row>
    <row r="1609" spans="1:4" x14ac:dyDescent="0.2">
      <c r="A1609" s="728">
        <v>44617</v>
      </c>
      <c r="B1609" s="331">
        <f t="shared" si="19"/>
        <v>331382.17</v>
      </c>
      <c r="C1609" s="331">
        <f t="shared" si="18"/>
        <v>331182.17</v>
      </c>
      <c r="D1609" s="479">
        <v>200</v>
      </c>
    </row>
    <row r="1610" spans="1:4" x14ac:dyDescent="0.2">
      <c r="A1610" s="728">
        <v>44620</v>
      </c>
      <c r="B1610" s="331">
        <f t="shared" si="19"/>
        <v>331382.17</v>
      </c>
      <c r="C1610" s="331">
        <f t="shared" si="18"/>
        <v>331182.17</v>
      </c>
      <c r="D1610" s="479">
        <v>200</v>
      </c>
    </row>
    <row r="1611" spans="1:4" x14ac:dyDescent="0.2">
      <c r="A1611" s="728">
        <v>44621</v>
      </c>
      <c r="B1611" s="331">
        <f t="shared" si="19"/>
        <v>293888.99</v>
      </c>
      <c r="C1611" s="331">
        <v>293688.99</v>
      </c>
      <c r="D1611" s="479">
        <v>200</v>
      </c>
    </row>
    <row r="1612" spans="1:4" x14ac:dyDescent="0.2">
      <c r="A1612" s="728">
        <v>44622</v>
      </c>
      <c r="B1612" s="331">
        <f t="shared" si="19"/>
        <v>321342.32</v>
      </c>
      <c r="C1612" s="331">
        <v>321142.32</v>
      </c>
      <c r="D1612" s="479">
        <v>200</v>
      </c>
    </row>
    <row r="1613" spans="1:4" x14ac:dyDescent="0.2">
      <c r="A1613" s="728">
        <v>44623</v>
      </c>
      <c r="B1613" s="331">
        <f t="shared" si="19"/>
        <v>328875.55</v>
      </c>
      <c r="C1613" s="331">
        <v>328675.55</v>
      </c>
      <c r="D1613" s="479">
        <v>200</v>
      </c>
    </row>
    <row r="1614" spans="1:4" x14ac:dyDescent="0.2">
      <c r="A1614" s="728">
        <v>44624</v>
      </c>
      <c r="B1614" s="331">
        <f t="shared" si="19"/>
        <v>311978.17</v>
      </c>
      <c r="C1614" s="331">
        <v>311778.17</v>
      </c>
      <c r="D1614" s="479">
        <v>200</v>
      </c>
    </row>
    <row r="1615" spans="1:4" x14ac:dyDescent="0.2">
      <c r="A1615" s="728">
        <v>44627</v>
      </c>
      <c r="B1615" s="331">
        <f t="shared" si="19"/>
        <v>311978.17</v>
      </c>
      <c r="C1615" s="331">
        <f t="shared" si="18"/>
        <v>311778.17</v>
      </c>
      <c r="D1615" s="479">
        <v>200</v>
      </c>
    </row>
    <row r="1616" spans="1:4" x14ac:dyDescent="0.2">
      <c r="A1616" s="728">
        <v>44628</v>
      </c>
      <c r="B1616" s="331">
        <f t="shared" si="19"/>
        <v>323791.65000000002</v>
      </c>
      <c r="C1616" s="331">
        <v>323591.65000000002</v>
      </c>
      <c r="D1616" s="479">
        <v>200</v>
      </c>
    </row>
    <row r="1617" spans="1:4" x14ac:dyDescent="0.2">
      <c r="A1617" s="728">
        <v>44629</v>
      </c>
      <c r="B1617" s="331">
        <f t="shared" si="19"/>
        <v>323791.65000000002</v>
      </c>
      <c r="C1617" s="331">
        <f t="shared" si="18"/>
        <v>323591.65000000002</v>
      </c>
      <c r="D1617" s="479">
        <v>200</v>
      </c>
    </row>
    <row r="1618" spans="1:4" x14ac:dyDescent="0.2">
      <c r="A1618" s="728">
        <v>44630</v>
      </c>
      <c r="B1618" s="331">
        <f t="shared" si="19"/>
        <v>304395.95</v>
      </c>
      <c r="C1618" s="331">
        <v>304195.95</v>
      </c>
      <c r="D1618" s="479">
        <v>200</v>
      </c>
    </row>
    <row r="1619" spans="1:4" x14ac:dyDescent="0.2">
      <c r="A1619" s="728">
        <v>44631</v>
      </c>
      <c r="B1619" s="331">
        <f t="shared" si="19"/>
        <v>304395.95</v>
      </c>
      <c r="C1619" s="331">
        <f t="shared" si="18"/>
        <v>304195.95</v>
      </c>
      <c r="D1619" s="479">
        <v>200</v>
      </c>
    </row>
    <row r="1620" spans="1:4" x14ac:dyDescent="0.2">
      <c r="A1620" s="728">
        <v>44634</v>
      </c>
      <c r="B1620" s="331">
        <f t="shared" si="19"/>
        <v>304395.95</v>
      </c>
      <c r="C1620" s="331">
        <f t="shared" si="18"/>
        <v>304195.95</v>
      </c>
      <c r="D1620" s="479">
        <v>200</v>
      </c>
    </row>
    <row r="1621" spans="1:4" x14ac:dyDescent="0.2">
      <c r="A1621" s="728">
        <v>44635</v>
      </c>
      <c r="B1621" s="331">
        <f t="shared" si="19"/>
        <v>354177.58</v>
      </c>
      <c r="C1621" s="331">
        <v>353977.58</v>
      </c>
      <c r="D1621" s="479">
        <v>200</v>
      </c>
    </row>
    <row r="1622" spans="1:4" x14ac:dyDescent="0.2">
      <c r="A1622" s="728">
        <v>44636</v>
      </c>
      <c r="B1622" s="331">
        <f t="shared" si="19"/>
        <v>354177.58</v>
      </c>
      <c r="C1622" s="331">
        <f t="shared" si="18"/>
        <v>353977.58</v>
      </c>
      <c r="D1622" s="479">
        <v>200</v>
      </c>
    </row>
    <row r="1623" spans="1:4" x14ac:dyDescent="0.2">
      <c r="A1623" s="728">
        <v>44637</v>
      </c>
      <c r="B1623" s="331">
        <f t="shared" si="19"/>
        <v>272443</v>
      </c>
      <c r="C1623" s="331">
        <v>272243</v>
      </c>
      <c r="D1623" s="479">
        <v>200</v>
      </c>
    </row>
    <row r="1624" spans="1:4" x14ac:dyDescent="0.2">
      <c r="A1624" s="728">
        <v>44638</v>
      </c>
      <c r="B1624" s="331">
        <f t="shared" si="19"/>
        <v>271968.02</v>
      </c>
      <c r="C1624" s="331">
        <v>271768.02</v>
      </c>
      <c r="D1624" s="479">
        <v>200</v>
      </c>
    </row>
    <row r="1625" spans="1:4" x14ac:dyDescent="0.2">
      <c r="A1625" s="728">
        <v>44641</v>
      </c>
      <c r="B1625" s="331">
        <f t="shared" si="19"/>
        <v>287143.02</v>
      </c>
      <c r="C1625" s="331">
        <v>286943.02</v>
      </c>
      <c r="D1625" s="479">
        <v>200</v>
      </c>
    </row>
    <row r="1626" spans="1:4" x14ac:dyDescent="0.2">
      <c r="A1626" s="728">
        <v>44642</v>
      </c>
      <c r="B1626" s="331">
        <f t="shared" si="19"/>
        <v>287143.02</v>
      </c>
      <c r="C1626" s="331">
        <f t="shared" si="18"/>
        <v>286943.02</v>
      </c>
      <c r="D1626" s="479">
        <v>200</v>
      </c>
    </row>
    <row r="1627" spans="1:4" x14ac:dyDescent="0.2">
      <c r="A1627" s="728">
        <v>44643</v>
      </c>
      <c r="B1627" s="331">
        <f t="shared" si="19"/>
        <v>171561.3</v>
      </c>
      <c r="C1627" s="331">
        <v>171361.3</v>
      </c>
      <c r="D1627" s="479">
        <v>200</v>
      </c>
    </row>
    <row r="1628" spans="1:4" x14ac:dyDescent="0.2">
      <c r="A1628" s="728">
        <v>44644</v>
      </c>
      <c r="B1628" s="331">
        <f t="shared" si="19"/>
        <v>171561.3</v>
      </c>
      <c r="C1628" s="331">
        <f t="shared" si="18"/>
        <v>171361.3</v>
      </c>
      <c r="D1628" s="479">
        <v>200</v>
      </c>
    </row>
    <row r="1629" spans="1:4" x14ac:dyDescent="0.2">
      <c r="A1629" s="728">
        <v>44645</v>
      </c>
      <c r="B1629" s="331">
        <f t="shared" si="19"/>
        <v>194069.16</v>
      </c>
      <c r="C1629" s="331">
        <v>193869.16</v>
      </c>
      <c r="D1629" s="479">
        <v>200</v>
      </c>
    </row>
    <row r="1630" spans="1:4" x14ac:dyDescent="0.2">
      <c r="A1630" s="728">
        <v>44648</v>
      </c>
      <c r="B1630" s="331">
        <f t="shared" si="19"/>
        <v>184965.34</v>
      </c>
      <c r="C1630" s="331">
        <v>184765.34</v>
      </c>
      <c r="D1630" s="479">
        <v>200</v>
      </c>
    </row>
    <row r="1631" spans="1:4" x14ac:dyDescent="0.2">
      <c r="A1631" s="728">
        <v>44649</v>
      </c>
      <c r="B1631" s="331">
        <f t="shared" si="19"/>
        <v>140741.59</v>
      </c>
      <c r="C1631" s="331">
        <v>140541.59</v>
      </c>
      <c r="D1631" s="479">
        <v>200</v>
      </c>
    </row>
    <row r="1632" spans="1:4" x14ac:dyDescent="0.2">
      <c r="A1632" s="728">
        <v>44650</v>
      </c>
      <c r="B1632" s="364">
        <f t="shared" si="19"/>
        <v>140708.63</v>
      </c>
      <c r="C1632" s="331">
        <v>140508.63</v>
      </c>
      <c r="D1632" s="479">
        <v>200</v>
      </c>
    </row>
    <row r="1633" spans="1:4" x14ac:dyDescent="0.2">
      <c r="A1633" s="728">
        <v>44651</v>
      </c>
      <c r="B1633" s="331">
        <f t="shared" si="19"/>
        <v>281239.25</v>
      </c>
      <c r="C1633" s="331">
        <v>281039.25</v>
      </c>
      <c r="D1633" s="479">
        <v>200</v>
      </c>
    </row>
    <row r="1634" spans="1:4" x14ac:dyDescent="0.2">
      <c r="A1634" s="728">
        <v>44652</v>
      </c>
      <c r="B1634" s="331">
        <f t="shared" si="19"/>
        <v>283716.02</v>
      </c>
      <c r="C1634" s="331">
        <v>283516.02</v>
      </c>
      <c r="D1634" s="479">
        <v>200</v>
      </c>
    </row>
    <row r="1635" spans="1:4" x14ac:dyDescent="0.2">
      <c r="A1635" s="728">
        <v>44655</v>
      </c>
      <c r="B1635" s="331">
        <f t="shared" si="19"/>
        <v>283716.02</v>
      </c>
      <c r="C1635" s="331">
        <f t="shared" si="18"/>
        <v>283516.02</v>
      </c>
      <c r="D1635" s="479">
        <v>200</v>
      </c>
    </row>
    <row r="1636" spans="1:4" x14ac:dyDescent="0.2">
      <c r="A1636" s="728">
        <v>44656</v>
      </c>
      <c r="B1636" s="331">
        <f t="shared" si="19"/>
        <v>300477.89</v>
      </c>
      <c r="C1636" s="331">
        <v>300277.89</v>
      </c>
      <c r="D1636" s="479">
        <v>200</v>
      </c>
    </row>
    <row r="1637" spans="1:4" x14ac:dyDescent="0.2">
      <c r="A1637" s="728">
        <v>44657</v>
      </c>
      <c r="B1637" s="331">
        <f t="shared" si="19"/>
        <v>300477.89</v>
      </c>
      <c r="C1637" s="331">
        <f t="shared" si="18"/>
        <v>300277.89</v>
      </c>
      <c r="D1637" s="479">
        <v>200</v>
      </c>
    </row>
    <row r="1638" spans="1:4" x14ac:dyDescent="0.2">
      <c r="A1638" s="728">
        <v>44658</v>
      </c>
      <c r="B1638" s="331">
        <f t="shared" si="19"/>
        <v>301029.09000000003</v>
      </c>
      <c r="C1638" s="331">
        <v>300829.09000000003</v>
      </c>
      <c r="D1638" s="479">
        <v>200</v>
      </c>
    </row>
    <row r="1639" spans="1:4" x14ac:dyDescent="0.2">
      <c r="A1639" s="728">
        <v>44659</v>
      </c>
      <c r="B1639" s="331">
        <f t="shared" si="19"/>
        <v>296794.44</v>
      </c>
      <c r="C1639" s="331">
        <v>296594.44</v>
      </c>
      <c r="D1639" s="479">
        <v>200</v>
      </c>
    </row>
    <row r="1640" spans="1:4" x14ac:dyDescent="0.2">
      <c r="A1640" s="728">
        <v>44662</v>
      </c>
      <c r="B1640" s="331">
        <f t="shared" si="19"/>
        <v>296989.44</v>
      </c>
      <c r="C1640" s="331">
        <v>296789.44</v>
      </c>
      <c r="D1640" s="479">
        <v>200</v>
      </c>
    </row>
    <row r="1641" spans="1:4" x14ac:dyDescent="0.2">
      <c r="A1641" s="728">
        <v>44663</v>
      </c>
      <c r="B1641" s="331">
        <f t="shared" si="19"/>
        <v>274755.46000000002</v>
      </c>
      <c r="C1641" s="331">
        <v>274555.46000000002</v>
      </c>
      <c r="D1641" s="479">
        <v>200</v>
      </c>
    </row>
    <row r="1642" spans="1:4" x14ac:dyDescent="0.2">
      <c r="A1642" s="728">
        <v>44664</v>
      </c>
      <c r="B1642" s="331">
        <f t="shared" si="19"/>
        <v>274755.46000000002</v>
      </c>
      <c r="C1642" s="331">
        <f t="shared" ref="C1642:C1656" si="20">C1641</f>
        <v>274555.46000000002</v>
      </c>
      <c r="D1642" s="479">
        <v>200</v>
      </c>
    </row>
    <row r="1643" spans="1:4" x14ac:dyDescent="0.2">
      <c r="A1643" s="728">
        <v>44665</v>
      </c>
      <c r="B1643" s="331">
        <f t="shared" si="19"/>
        <v>273817.88</v>
      </c>
      <c r="C1643" s="331">
        <v>273617.88</v>
      </c>
      <c r="D1643" s="479">
        <v>200</v>
      </c>
    </row>
    <row r="1644" spans="1:4" x14ac:dyDescent="0.2">
      <c r="A1644" s="728">
        <v>44666</v>
      </c>
      <c r="B1644" s="331">
        <f t="shared" si="19"/>
        <v>273375.03999999998</v>
      </c>
      <c r="C1644" s="331">
        <v>273175.03999999998</v>
      </c>
      <c r="D1644" s="479">
        <v>200</v>
      </c>
    </row>
    <row r="1645" spans="1:4" x14ac:dyDescent="0.2">
      <c r="A1645" s="728">
        <v>44669</v>
      </c>
      <c r="B1645" s="331">
        <f t="shared" si="19"/>
        <v>306978.36</v>
      </c>
      <c r="C1645" s="331">
        <v>306778.36</v>
      </c>
      <c r="D1645" s="479">
        <v>200</v>
      </c>
    </row>
    <row r="1646" spans="1:4" x14ac:dyDescent="0.2">
      <c r="A1646" s="728">
        <v>44670</v>
      </c>
      <c r="B1646" s="331">
        <f t="shared" si="19"/>
        <v>306978.36</v>
      </c>
      <c r="C1646" s="331">
        <f t="shared" si="20"/>
        <v>306778.36</v>
      </c>
      <c r="D1646" s="479">
        <v>200</v>
      </c>
    </row>
    <row r="1647" spans="1:4" x14ac:dyDescent="0.2">
      <c r="A1647" s="728">
        <v>44671</v>
      </c>
      <c r="B1647" s="331">
        <f t="shared" si="19"/>
        <v>266613.8</v>
      </c>
      <c r="C1647" s="331">
        <v>266413.8</v>
      </c>
      <c r="D1647" s="479">
        <v>200</v>
      </c>
    </row>
    <row r="1648" spans="1:4" x14ac:dyDescent="0.2">
      <c r="A1648" s="728">
        <v>44672</v>
      </c>
      <c r="B1648" s="331">
        <f t="shared" si="19"/>
        <v>271958.33</v>
      </c>
      <c r="C1648" s="331">
        <v>271758.33</v>
      </c>
      <c r="D1648" s="479">
        <v>200</v>
      </c>
    </row>
    <row r="1649" spans="1:4" x14ac:dyDescent="0.2">
      <c r="A1649" s="728">
        <v>44673</v>
      </c>
      <c r="B1649" s="331">
        <f t="shared" ref="B1649:B1655" si="21">C1649+D1649</f>
        <v>271799.48</v>
      </c>
      <c r="C1649" s="331">
        <v>271599.48</v>
      </c>
      <c r="D1649" s="479">
        <v>200</v>
      </c>
    </row>
    <row r="1650" spans="1:4" x14ac:dyDescent="0.2">
      <c r="A1650" s="728">
        <v>44676</v>
      </c>
      <c r="B1650" s="331">
        <f t="shared" si="21"/>
        <v>271799.48</v>
      </c>
      <c r="C1650" s="331">
        <f t="shared" si="20"/>
        <v>271599.48</v>
      </c>
      <c r="D1650" s="479">
        <v>200</v>
      </c>
    </row>
    <row r="1651" spans="1:4" x14ac:dyDescent="0.2">
      <c r="A1651" s="728">
        <v>44677</v>
      </c>
      <c r="B1651" s="331">
        <f t="shared" si="21"/>
        <v>231449.55</v>
      </c>
      <c r="C1651" s="331">
        <v>231249.55</v>
      </c>
      <c r="D1651" s="479">
        <v>200</v>
      </c>
    </row>
    <row r="1652" spans="1:4" x14ac:dyDescent="0.2">
      <c r="A1652" s="728">
        <v>44678</v>
      </c>
      <c r="B1652" s="331">
        <f t="shared" si="21"/>
        <v>255926.54</v>
      </c>
      <c r="C1652" s="331">
        <v>255726.54</v>
      </c>
      <c r="D1652" s="479">
        <v>200</v>
      </c>
    </row>
    <row r="1653" spans="1:4" x14ac:dyDescent="0.2">
      <c r="A1653" s="728">
        <v>44679</v>
      </c>
      <c r="B1653" s="331">
        <f t="shared" si="21"/>
        <v>256457.54</v>
      </c>
      <c r="C1653" s="331">
        <v>256257.54</v>
      </c>
      <c r="D1653" s="479">
        <v>200</v>
      </c>
    </row>
    <row r="1654" spans="1:4" x14ac:dyDescent="0.2">
      <c r="A1654" s="728">
        <v>44680</v>
      </c>
      <c r="B1654" s="331">
        <f t="shared" si="21"/>
        <v>255982.56</v>
      </c>
      <c r="C1654" s="331">
        <v>255782.56</v>
      </c>
      <c r="D1654" s="479">
        <v>200</v>
      </c>
    </row>
    <row r="1655" spans="1:4" x14ac:dyDescent="0.2">
      <c r="A1655" s="728">
        <v>44683</v>
      </c>
      <c r="B1655" s="331">
        <f t="shared" si="21"/>
        <v>255982.56</v>
      </c>
      <c r="C1655" s="331">
        <f t="shared" si="20"/>
        <v>255782.56</v>
      </c>
      <c r="D1655" s="479">
        <v>200</v>
      </c>
    </row>
    <row r="1656" spans="1:4" x14ac:dyDescent="0.2">
      <c r="A1656" s="728">
        <v>44684</v>
      </c>
      <c r="B1656" s="331">
        <f t="shared" ref="B1656:B1659" si="22">C1656+D1656</f>
        <v>255982.56</v>
      </c>
      <c r="C1656" s="331">
        <f t="shared" si="20"/>
        <v>255782.56</v>
      </c>
      <c r="D1656" s="479">
        <v>200</v>
      </c>
    </row>
    <row r="1657" spans="1:4" x14ac:dyDescent="0.2">
      <c r="A1657" s="728">
        <v>44685</v>
      </c>
      <c r="B1657" s="331">
        <f t="shared" si="22"/>
        <v>237408.49</v>
      </c>
      <c r="C1657" s="331">
        <v>237208.49</v>
      </c>
      <c r="D1657" s="479">
        <v>200</v>
      </c>
    </row>
    <row r="1658" spans="1:4" x14ac:dyDescent="0.2">
      <c r="A1658" s="728">
        <v>44686</v>
      </c>
      <c r="B1658" s="331">
        <f t="shared" si="22"/>
        <v>237595.16</v>
      </c>
      <c r="C1658" s="331">
        <v>237395.16</v>
      </c>
      <c r="D1658" s="479">
        <v>200</v>
      </c>
    </row>
    <row r="1659" spans="1:4" x14ac:dyDescent="0.2">
      <c r="A1659" s="728">
        <v>44687</v>
      </c>
      <c r="B1659" s="331">
        <f t="shared" si="22"/>
        <v>237595.16</v>
      </c>
      <c r="C1659" s="331">
        <f>C1658</f>
        <v>237395.16</v>
      </c>
      <c r="D1659" s="479">
        <v>200</v>
      </c>
    </row>
    <row r="1660" spans="1:4" x14ac:dyDescent="0.2">
      <c r="A1660" s="728">
        <v>44690</v>
      </c>
      <c r="B1660" s="331">
        <f t="shared" ref="B1660:B1664" si="23">C1660+D1660</f>
        <v>237595.16</v>
      </c>
      <c r="C1660" s="331">
        <f>C1659</f>
        <v>237395.16</v>
      </c>
      <c r="D1660" s="479">
        <v>200</v>
      </c>
    </row>
    <row r="1661" spans="1:4" x14ac:dyDescent="0.2">
      <c r="A1661" s="728">
        <v>44691</v>
      </c>
      <c r="B1661" s="331">
        <f t="shared" si="23"/>
        <v>198176.08</v>
      </c>
      <c r="C1661" s="331">
        <v>197976.08</v>
      </c>
      <c r="D1661" s="479">
        <v>200</v>
      </c>
    </row>
    <row r="1662" spans="1:4" x14ac:dyDescent="0.2">
      <c r="A1662" s="728">
        <v>44692</v>
      </c>
      <c r="B1662" s="331">
        <f t="shared" si="23"/>
        <v>206509.41</v>
      </c>
      <c r="C1662" s="331">
        <v>206309.41</v>
      </c>
      <c r="D1662" s="479">
        <v>200</v>
      </c>
    </row>
    <row r="1663" spans="1:4" x14ac:dyDescent="0.2">
      <c r="A1663" s="728">
        <v>44693</v>
      </c>
      <c r="B1663" s="331">
        <f t="shared" si="23"/>
        <v>196309.39</v>
      </c>
      <c r="C1663" s="331">
        <v>196109.39</v>
      </c>
      <c r="D1663" s="479">
        <v>200</v>
      </c>
    </row>
    <row r="1664" spans="1:4" x14ac:dyDescent="0.2">
      <c r="A1664" s="728">
        <v>44694</v>
      </c>
      <c r="B1664" s="331">
        <f t="shared" si="23"/>
        <v>217592.12</v>
      </c>
      <c r="C1664" s="331">
        <v>217392.12</v>
      </c>
      <c r="D1664" s="479">
        <v>200</v>
      </c>
    </row>
    <row r="1665" spans="1:4" x14ac:dyDescent="0.2">
      <c r="A1665" s="728">
        <v>44697</v>
      </c>
      <c r="B1665" s="331">
        <f t="shared" ref="B1665:B1801" si="24">C1665+D1665</f>
        <v>217592.12</v>
      </c>
      <c r="C1665" s="331">
        <f t="shared" ref="C1665:C1707" si="25">C1664</f>
        <v>217392.12</v>
      </c>
      <c r="D1665" s="479">
        <v>200</v>
      </c>
    </row>
    <row r="1666" spans="1:4" x14ac:dyDescent="0.2">
      <c r="A1666" s="728">
        <v>44698</v>
      </c>
      <c r="B1666" s="331">
        <f t="shared" si="24"/>
        <v>217592.12</v>
      </c>
      <c r="C1666" s="331">
        <f t="shared" si="25"/>
        <v>217392.12</v>
      </c>
      <c r="D1666" s="479">
        <v>200</v>
      </c>
    </row>
    <row r="1667" spans="1:4" x14ac:dyDescent="0.2">
      <c r="A1667" s="728">
        <v>44699</v>
      </c>
      <c r="B1667" s="331">
        <f t="shared" si="24"/>
        <v>217592.12</v>
      </c>
      <c r="C1667" s="331">
        <f t="shared" si="25"/>
        <v>217392.12</v>
      </c>
      <c r="D1667" s="479">
        <v>200</v>
      </c>
    </row>
    <row r="1668" spans="1:4" x14ac:dyDescent="0.2">
      <c r="A1668" s="728">
        <v>44700</v>
      </c>
      <c r="B1668" s="331">
        <f t="shared" si="24"/>
        <v>221731.08</v>
      </c>
      <c r="C1668" s="331">
        <v>221531.08</v>
      </c>
      <c r="D1668" s="479">
        <v>200</v>
      </c>
    </row>
    <row r="1669" spans="1:4" x14ac:dyDescent="0.2">
      <c r="A1669" s="728">
        <v>44701</v>
      </c>
      <c r="B1669" s="331">
        <f t="shared" si="24"/>
        <v>217798.74</v>
      </c>
      <c r="C1669" s="331">
        <v>217598.74</v>
      </c>
      <c r="D1669" s="479">
        <v>200</v>
      </c>
    </row>
    <row r="1670" spans="1:4" x14ac:dyDescent="0.2">
      <c r="A1670" s="728">
        <v>44704</v>
      </c>
      <c r="B1670" s="331">
        <f t="shared" si="24"/>
        <v>176485.8</v>
      </c>
      <c r="C1670" s="331">
        <v>176285.8</v>
      </c>
      <c r="D1670" s="479">
        <v>200</v>
      </c>
    </row>
    <row r="1671" spans="1:4" x14ac:dyDescent="0.2">
      <c r="A1671" s="728">
        <v>44705</v>
      </c>
      <c r="B1671" s="331">
        <f t="shared" si="24"/>
        <v>176485.8</v>
      </c>
      <c r="C1671" s="331">
        <f t="shared" si="25"/>
        <v>176285.8</v>
      </c>
      <c r="D1671" s="479">
        <v>200</v>
      </c>
    </row>
    <row r="1672" spans="1:4" x14ac:dyDescent="0.2">
      <c r="A1672" s="728">
        <v>44706</v>
      </c>
      <c r="B1672" s="331">
        <f t="shared" si="24"/>
        <v>176485.8</v>
      </c>
      <c r="C1672" s="331">
        <f t="shared" si="25"/>
        <v>176285.8</v>
      </c>
      <c r="D1672" s="479">
        <v>200</v>
      </c>
    </row>
    <row r="1673" spans="1:4" x14ac:dyDescent="0.2">
      <c r="A1673" s="728">
        <v>44707</v>
      </c>
      <c r="B1673" s="331">
        <f t="shared" si="24"/>
        <v>317719.40999999997</v>
      </c>
      <c r="C1673" s="331">
        <v>317519.40999999997</v>
      </c>
      <c r="D1673" s="479">
        <v>200</v>
      </c>
    </row>
    <row r="1674" spans="1:4" x14ac:dyDescent="0.2">
      <c r="A1674" s="728">
        <v>44708</v>
      </c>
      <c r="B1674" s="331">
        <f t="shared" si="24"/>
        <v>317244.43</v>
      </c>
      <c r="C1674" s="331">
        <v>317044.43</v>
      </c>
      <c r="D1674" s="479">
        <v>200</v>
      </c>
    </row>
    <row r="1675" spans="1:4" x14ac:dyDescent="0.2">
      <c r="A1675" s="728">
        <v>44711</v>
      </c>
      <c r="B1675" s="331">
        <f t="shared" si="24"/>
        <v>317244.43</v>
      </c>
      <c r="C1675" s="331">
        <f t="shared" si="25"/>
        <v>317044.43</v>
      </c>
      <c r="D1675" s="479">
        <v>200</v>
      </c>
    </row>
    <row r="1676" spans="1:4" x14ac:dyDescent="0.2">
      <c r="A1676" s="728">
        <v>44712</v>
      </c>
      <c r="B1676" s="331">
        <f t="shared" si="24"/>
        <v>317244.43</v>
      </c>
      <c r="C1676" s="331">
        <f t="shared" si="25"/>
        <v>317044.43</v>
      </c>
      <c r="D1676" s="479">
        <v>200</v>
      </c>
    </row>
    <row r="1677" spans="1:4" x14ac:dyDescent="0.2">
      <c r="A1677" s="728">
        <v>44713</v>
      </c>
      <c r="B1677" s="331">
        <f t="shared" si="24"/>
        <v>317244.43</v>
      </c>
      <c r="C1677" s="331">
        <f t="shared" si="25"/>
        <v>317044.43</v>
      </c>
      <c r="D1677" s="479">
        <v>200</v>
      </c>
    </row>
    <row r="1678" spans="1:4" x14ac:dyDescent="0.2">
      <c r="A1678" s="728">
        <v>44714</v>
      </c>
      <c r="B1678" s="331">
        <f t="shared" si="24"/>
        <v>317244.43</v>
      </c>
      <c r="C1678" s="331">
        <f t="shared" si="25"/>
        <v>317044.43</v>
      </c>
      <c r="D1678" s="479">
        <v>200</v>
      </c>
    </row>
    <row r="1679" spans="1:4" x14ac:dyDescent="0.2">
      <c r="A1679" s="728">
        <v>44715</v>
      </c>
      <c r="B1679" s="331">
        <f t="shared" si="24"/>
        <v>311632.77</v>
      </c>
      <c r="C1679" s="331">
        <v>311432.77</v>
      </c>
      <c r="D1679" s="479">
        <v>200</v>
      </c>
    </row>
    <row r="1680" spans="1:4" x14ac:dyDescent="0.2">
      <c r="A1680" s="728">
        <v>44718</v>
      </c>
      <c r="B1680" s="331">
        <f t="shared" si="24"/>
        <v>311632.77</v>
      </c>
      <c r="C1680" s="331">
        <f t="shared" si="25"/>
        <v>311432.77</v>
      </c>
      <c r="D1680" s="479">
        <v>200</v>
      </c>
    </row>
    <row r="1681" spans="1:4" x14ac:dyDescent="0.2">
      <c r="A1681" s="728">
        <v>44719</v>
      </c>
      <c r="B1681" s="331">
        <f t="shared" si="24"/>
        <v>272576.3</v>
      </c>
      <c r="C1681" s="331">
        <v>272376.3</v>
      </c>
      <c r="D1681" s="479">
        <v>200</v>
      </c>
    </row>
    <row r="1682" spans="1:4" x14ac:dyDescent="0.2">
      <c r="A1682" s="728">
        <v>44720</v>
      </c>
      <c r="B1682" s="331">
        <f t="shared" si="24"/>
        <v>272576.3</v>
      </c>
      <c r="C1682" s="331">
        <f t="shared" si="25"/>
        <v>272376.3</v>
      </c>
      <c r="D1682" s="479">
        <v>200</v>
      </c>
    </row>
    <row r="1683" spans="1:4" x14ac:dyDescent="0.2">
      <c r="A1683" s="728">
        <v>44721</v>
      </c>
      <c r="B1683" s="331">
        <f t="shared" si="24"/>
        <v>262789.33</v>
      </c>
      <c r="C1683" s="331">
        <v>262589.33</v>
      </c>
      <c r="D1683" s="479">
        <v>200</v>
      </c>
    </row>
    <row r="1684" spans="1:4" x14ac:dyDescent="0.2">
      <c r="A1684" s="728">
        <v>44722</v>
      </c>
      <c r="B1684" s="331">
        <f t="shared" si="24"/>
        <v>262314.34999999998</v>
      </c>
      <c r="C1684" s="331">
        <v>262114.35</v>
      </c>
      <c r="D1684" s="479">
        <v>200</v>
      </c>
    </row>
    <row r="1685" spans="1:4" x14ac:dyDescent="0.2">
      <c r="A1685" s="728">
        <v>44725</v>
      </c>
      <c r="B1685" s="331">
        <f t="shared" si="24"/>
        <v>262577.34999999998</v>
      </c>
      <c r="C1685" s="331">
        <v>262377.34999999998</v>
      </c>
      <c r="D1685" s="479">
        <v>200</v>
      </c>
    </row>
    <row r="1686" spans="1:4" x14ac:dyDescent="0.2">
      <c r="A1686" s="728">
        <v>44726</v>
      </c>
      <c r="B1686" s="331">
        <f t="shared" si="24"/>
        <v>262577.34999999998</v>
      </c>
      <c r="C1686" s="331">
        <f t="shared" si="25"/>
        <v>262377.34999999998</v>
      </c>
      <c r="D1686" s="479">
        <v>200</v>
      </c>
    </row>
    <row r="1687" spans="1:4" x14ac:dyDescent="0.2">
      <c r="A1687" s="728">
        <v>44727</v>
      </c>
      <c r="B1687" s="331">
        <f t="shared" si="24"/>
        <v>359115.13</v>
      </c>
      <c r="C1687" s="331">
        <v>358915.13</v>
      </c>
      <c r="D1687" s="479">
        <v>200</v>
      </c>
    </row>
    <row r="1688" spans="1:4" x14ac:dyDescent="0.2">
      <c r="A1688" s="728">
        <v>44728</v>
      </c>
      <c r="B1688" s="331">
        <f t="shared" si="24"/>
        <v>359115.13</v>
      </c>
      <c r="C1688" s="331">
        <f t="shared" si="25"/>
        <v>358915.13</v>
      </c>
      <c r="D1688" s="479">
        <v>200</v>
      </c>
    </row>
    <row r="1689" spans="1:4" x14ac:dyDescent="0.2">
      <c r="A1689" s="728">
        <v>44729</v>
      </c>
      <c r="B1689" s="331">
        <f t="shared" si="24"/>
        <v>359115.13</v>
      </c>
      <c r="C1689" s="331">
        <f t="shared" si="25"/>
        <v>358915.13</v>
      </c>
      <c r="D1689" s="479">
        <v>200</v>
      </c>
    </row>
    <row r="1690" spans="1:4" x14ac:dyDescent="0.2">
      <c r="A1690" s="728">
        <v>44732</v>
      </c>
      <c r="B1690" s="331">
        <f t="shared" si="24"/>
        <v>317912.34000000003</v>
      </c>
      <c r="C1690" s="331">
        <v>317712.34000000003</v>
      </c>
      <c r="D1690" s="479">
        <v>200</v>
      </c>
    </row>
    <row r="1691" spans="1:4" x14ac:dyDescent="0.2">
      <c r="A1691" s="728">
        <v>44733</v>
      </c>
      <c r="B1691" s="331">
        <f t="shared" si="24"/>
        <v>318373.34000000003</v>
      </c>
      <c r="C1691" s="331">
        <v>318173.34000000003</v>
      </c>
      <c r="D1691" s="479">
        <v>200</v>
      </c>
    </row>
    <row r="1692" spans="1:4" x14ac:dyDescent="0.2">
      <c r="A1692" s="728">
        <v>44734</v>
      </c>
      <c r="B1692" s="331">
        <f t="shared" si="24"/>
        <v>319350.08</v>
      </c>
      <c r="C1692" s="331">
        <v>319150.08000000002</v>
      </c>
      <c r="D1692" s="479">
        <v>200</v>
      </c>
    </row>
    <row r="1693" spans="1:4" x14ac:dyDescent="0.2">
      <c r="A1693" s="728">
        <v>44735</v>
      </c>
      <c r="B1693" s="331">
        <f t="shared" si="24"/>
        <v>329131.38</v>
      </c>
      <c r="C1693" s="331">
        <v>328931.38</v>
      </c>
      <c r="D1693" s="479">
        <v>200</v>
      </c>
    </row>
    <row r="1694" spans="1:4" x14ac:dyDescent="0.2">
      <c r="A1694" s="728">
        <v>44736</v>
      </c>
      <c r="B1694" s="331">
        <f t="shared" si="24"/>
        <v>329131.38</v>
      </c>
      <c r="C1694" s="331">
        <f t="shared" si="25"/>
        <v>328931.38</v>
      </c>
      <c r="D1694" s="479">
        <v>200</v>
      </c>
    </row>
    <row r="1695" spans="1:4" x14ac:dyDescent="0.2">
      <c r="A1695" s="728">
        <v>44739</v>
      </c>
      <c r="B1695" s="331">
        <f t="shared" si="24"/>
        <v>329131.38</v>
      </c>
      <c r="C1695" s="331">
        <f t="shared" si="25"/>
        <v>328931.38</v>
      </c>
      <c r="D1695" s="479">
        <v>200</v>
      </c>
    </row>
    <row r="1696" spans="1:4" x14ac:dyDescent="0.2">
      <c r="A1696" s="728">
        <v>44740</v>
      </c>
      <c r="B1696" s="331">
        <f t="shared" si="24"/>
        <v>329131.38</v>
      </c>
      <c r="C1696" s="331">
        <f t="shared" si="25"/>
        <v>328931.38</v>
      </c>
      <c r="D1696" s="479">
        <v>200</v>
      </c>
    </row>
    <row r="1697" spans="1:4" x14ac:dyDescent="0.2">
      <c r="A1697" s="728">
        <v>44741</v>
      </c>
      <c r="B1697" s="331">
        <f t="shared" si="24"/>
        <v>358518.98</v>
      </c>
      <c r="C1697" s="331">
        <v>358318.98</v>
      </c>
      <c r="D1697" s="479">
        <v>200</v>
      </c>
    </row>
    <row r="1698" spans="1:4" x14ac:dyDescent="0.2">
      <c r="A1698" s="728">
        <v>44742</v>
      </c>
      <c r="B1698" s="331">
        <f t="shared" si="24"/>
        <v>388026.98</v>
      </c>
      <c r="C1698" s="331">
        <v>387826.98</v>
      </c>
      <c r="D1698" s="479">
        <v>200</v>
      </c>
    </row>
    <row r="1699" spans="1:4" x14ac:dyDescent="0.2">
      <c r="A1699" s="728">
        <v>44743</v>
      </c>
      <c r="B1699" s="331">
        <f t="shared" si="24"/>
        <v>388026.98</v>
      </c>
      <c r="C1699" s="331">
        <f t="shared" si="25"/>
        <v>387826.98</v>
      </c>
      <c r="D1699" s="479">
        <v>200</v>
      </c>
    </row>
    <row r="1700" spans="1:4" x14ac:dyDescent="0.2">
      <c r="A1700" s="728">
        <v>44746</v>
      </c>
      <c r="B1700" s="331">
        <f t="shared" si="24"/>
        <v>388026.98</v>
      </c>
      <c r="C1700" s="331">
        <f t="shared" si="25"/>
        <v>387826.98</v>
      </c>
      <c r="D1700" s="479">
        <v>200</v>
      </c>
    </row>
    <row r="1701" spans="1:4" x14ac:dyDescent="0.2">
      <c r="A1701" s="728">
        <v>44747</v>
      </c>
      <c r="B1701" s="331">
        <f t="shared" si="24"/>
        <v>347383.35</v>
      </c>
      <c r="C1701" s="331">
        <v>347183.35</v>
      </c>
      <c r="D1701" s="479">
        <v>200</v>
      </c>
    </row>
    <row r="1702" spans="1:4" x14ac:dyDescent="0.2">
      <c r="A1702" s="728">
        <v>44748</v>
      </c>
      <c r="B1702" s="331">
        <f t="shared" si="24"/>
        <v>347507.35</v>
      </c>
      <c r="C1702" s="331">
        <v>347307.35</v>
      </c>
      <c r="D1702" s="479">
        <v>200</v>
      </c>
    </row>
    <row r="1703" spans="1:4" x14ac:dyDescent="0.2">
      <c r="A1703" s="728">
        <v>44749</v>
      </c>
      <c r="B1703" s="331">
        <f t="shared" si="24"/>
        <v>347648.35</v>
      </c>
      <c r="C1703" s="331">
        <v>347448.35</v>
      </c>
      <c r="D1703" s="479">
        <v>200</v>
      </c>
    </row>
    <row r="1704" spans="1:4" x14ac:dyDescent="0.2">
      <c r="A1704" s="728">
        <v>44750</v>
      </c>
      <c r="B1704" s="331">
        <f t="shared" si="24"/>
        <v>347173.37</v>
      </c>
      <c r="C1704" s="331">
        <v>346973.37</v>
      </c>
      <c r="D1704" s="479">
        <v>200</v>
      </c>
    </row>
    <row r="1705" spans="1:4" x14ac:dyDescent="0.2">
      <c r="A1705" s="728">
        <v>44753</v>
      </c>
      <c r="B1705" s="331">
        <f t="shared" si="24"/>
        <v>347173.37</v>
      </c>
      <c r="C1705" s="331">
        <f t="shared" si="25"/>
        <v>346973.37</v>
      </c>
      <c r="D1705" s="479">
        <v>200</v>
      </c>
    </row>
    <row r="1706" spans="1:4" x14ac:dyDescent="0.2">
      <c r="A1706" s="728">
        <v>44754</v>
      </c>
      <c r="B1706" s="331">
        <f t="shared" si="24"/>
        <v>347422.37</v>
      </c>
      <c r="C1706" s="331">
        <v>347222.37</v>
      </c>
      <c r="D1706" s="479">
        <v>200</v>
      </c>
    </row>
    <row r="1707" spans="1:4" x14ac:dyDescent="0.2">
      <c r="A1707" s="728">
        <v>44755</v>
      </c>
      <c r="B1707" s="331">
        <f t="shared" si="24"/>
        <v>347422.37</v>
      </c>
      <c r="C1707" s="331">
        <f t="shared" si="25"/>
        <v>347222.37</v>
      </c>
      <c r="D1707" s="479">
        <v>200</v>
      </c>
    </row>
    <row r="1708" spans="1:4" x14ac:dyDescent="0.2">
      <c r="A1708" s="728">
        <v>44756</v>
      </c>
      <c r="B1708" s="331">
        <f t="shared" si="24"/>
        <v>353674.1</v>
      </c>
      <c r="C1708" s="331">
        <v>353474.1</v>
      </c>
      <c r="D1708" s="479">
        <v>200</v>
      </c>
    </row>
    <row r="1709" spans="1:4" x14ac:dyDescent="0.2">
      <c r="A1709" s="728">
        <v>44757</v>
      </c>
      <c r="B1709" s="331">
        <f t="shared" si="24"/>
        <v>355815.56</v>
      </c>
      <c r="C1709" s="331">
        <v>355615.56</v>
      </c>
      <c r="D1709" s="479">
        <v>200</v>
      </c>
    </row>
    <row r="1710" spans="1:4" x14ac:dyDescent="0.2">
      <c r="A1710" s="728">
        <v>44760</v>
      </c>
      <c r="B1710" s="331">
        <f t="shared" si="24"/>
        <v>319836.78000000003</v>
      </c>
      <c r="C1710" s="331">
        <v>319636.78000000003</v>
      </c>
      <c r="D1710" s="479">
        <v>200</v>
      </c>
    </row>
    <row r="1711" spans="1:4" x14ac:dyDescent="0.2">
      <c r="A1711" s="728">
        <v>44761</v>
      </c>
      <c r="B1711" s="331">
        <f t="shared" si="24"/>
        <v>296807.06</v>
      </c>
      <c r="C1711" s="331">
        <v>296607.06</v>
      </c>
      <c r="D1711" s="479">
        <v>200</v>
      </c>
    </row>
    <row r="1712" spans="1:4" x14ac:dyDescent="0.2">
      <c r="A1712" s="728">
        <v>44762</v>
      </c>
      <c r="B1712" s="331">
        <f t="shared" si="24"/>
        <v>296807.06</v>
      </c>
      <c r="C1712" s="331">
        <f t="shared" ref="C1712:C1774" si="26">C1711</f>
        <v>296607.06</v>
      </c>
      <c r="D1712" s="479">
        <v>200</v>
      </c>
    </row>
    <row r="1713" spans="1:4" x14ac:dyDescent="0.2">
      <c r="A1713" s="728">
        <v>44763</v>
      </c>
      <c r="B1713" s="331">
        <f t="shared" si="24"/>
        <v>291257.96000000002</v>
      </c>
      <c r="C1713" s="331">
        <v>291057.96000000002</v>
      </c>
      <c r="D1713" s="479">
        <v>200</v>
      </c>
    </row>
    <row r="1714" spans="1:4" x14ac:dyDescent="0.2">
      <c r="A1714" s="728">
        <v>44764</v>
      </c>
      <c r="B1714" s="331">
        <f t="shared" si="24"/>
        <v>290782.98</v>
      </c>
      <c r="C1714" s="331">
        <v>290582.98</v>
      </c>
      <c r="D1714" s="479">
        <v>200</v>
      </c>
    </row>
    <row r="1715" spans="1:4" x14ac:dyDescent="0.2">
      <c r="A1715" s="728">
        <v>44767</v>
      </c>
      <c r="B1715" s="331">
        <f t="shared" si="24"/>
        <v>290782.98</v>
      </c>
      <c r="C1715" s="331">
        <f t="shared" si="26"/>
        <v>290582.98</v>
      </c>
      <c r="D1715" s="479">
        <v>200</v>
      </c>
    </row>
    <row r="1716" spans="1:4" x14ac:dyDescent="0.2">
      <c r="A1716" s="728">
        <v>44768</v>
      </c>
      <c r="B1716" s="331">
        <f t="shared" si="24"/>
        <v>290754.14</v>
      </c>
      <c r="C1716" s="331">
        <v>290554.14</v>
      </c>
      <c r="D1716" s="479">
        <v>200</v>
      </c>
    </row>
    <row r="1717" spans="1:4" x14ac:dyDescent="0.2">
      <c r="A1717" s="728">
        <v>44769</v>
      </c>
      <c r="B1717" s="331">
        <f t="shared" si="24"/>
        <v>290450.96000000002</v>
      </c>
      <c r="C1717" s="331">
        <v>290250.96000000002</v>
      </c>
      <c r="D1717" s="479">
        <v>200</v>
      </c>
    </row>
    <row r="1718" spans="1:4" x14ac:dyDescent="0.2">
      <c r="A1718" s="728">
        <v>44770</v>
      </c>
      <c r="B1718" s="331">
        <f t="shared" si="24"/>
        <v>282840.40000000002</v>
      </c>
      <c r="C1718" s="331">
        <v>282640.40000000002</v>
      </c>
      <c r="D1718" s="479">
        <v>200</v>
      </c>
    </row>
    <row r="1719" spans="1:4" x14ac:dyDescent="0.2">
      <c r="A1719" s="728">
        <v>44771</v>
      </c>
      <c r="B1719" s="331">
        <f t="shared" si="24"/>
        <v>318945.52</v>
      </c>
      <c r="C1719" s="331">
        <v>318745.52</v>
      </c>
      <c r="D1719" s="479">
        <v>200</v>
      </c>
    </row>
    <row r="1720" spans="1:4" x14ac:dyDescent="0.2">
      <c r="A1720" s="728">
        <v>44774</v>
      </c>
      <c r="B1720" s="331">
        <f t="shared" si="24"/>
        <v>318945.52</v>
      </c>
      <c r="C1720" s="331">
        <f t="shared" si="26"/>
        <v>318745.52</v>
      </c>
      <c r="D1720" s="479">
        <v>200</v>
      </c>
    </row>
    <row r="1721" spans="1:4" x14ac:dyDescent="0.2">
      <c r="A1721" s="728">
        <v>44775</v>
      </c>
      <c r="B1721" s="331">
        <f t="shared" si="24"/>
        <v>278401.03999999998</v>
      </c>
      <c r="C1721" s="331">
        <v>278201.03999999998</v>
      </c>
      <c r="D1721" s="479">
        <v>200</v>
      </c>
    </row>
    <row r="1722" spans="1:4" x14ac:dyDescent="0.2">
      <c r="A1722" s="728">
        <v>44776</v>
      </c>
      <c r="B1722" s="331">
        <f t="shared" si="24"/>
        <v>277801.03999999998</v>
      </c>
      <c r="C1722" s="331">
        <v>277601.03999999998</v>
      </c>
      <c r="D1722" s="479">
        <v>200</v>
      </c>
    </row>
    <row r="1723" spans="1:4" x14ac:dyDescent="0.2">
      <c r="A1723" s="728">
        <v>44777</v>
      </c>
      <c r="B1723" s="331">
        <f t="shared" si="24"/>
        <v>277801.03999999998</v>
      </c>
      <c r="C1723" s="331">
        <f t="shared" si="26"/>
        <v>277601.03999999998</v>
      </c>
      <c r="D1723" s="479">
        <v>200</v>
      </c>
    </row>
    <row r="1724" spans="1:4" x14ac:dyDescent="0.2">
      <c r="A1724" s="728">
        <v>44778</v>
      </c>
      <c r="B1724" s="331">
        <f t="shared" si="24"/>
        <v>277326.06</v>
      </c>
      <c r="C1724" s="331">
        <v>277126.06</v>
      </c>
      <c r="D1724" s="479">
        <v>200</v>
      </c>
    </row>
    <row r="1725" spans="1:4" x14ac:dyDescent="0.2">
      <c r="A1725" s="728">
        <v>44781</v>
      </c>
      <c r="B1725" s="331">
        <f t="shared" si="24"/>
        <v>277326.06</v>
      </c>
      <c r="C1725" s="331">
        <f t="shared" si="26"/>
        <v>277126.06</v>
      </c>
      <c r="D1725" s="479">
        <v>200</v>
      </c>
    </row>
    <row r="1726" spans="1:4" x14ac:dyDescent="0.2">
      <c r="A1726" s="728">
        <v>44782</v>
      </c>
      <c r="B1726" s="331">
        <f t="shared" si="24"/>
        <v>254730.8</v>
      </c>
      <c r="C1726" s="331">
        <v>254530.8</v>
      </c>
      <c r="D1726" s="479">
        <v>200</v>
      </c>
    </row>
    <row r="1727" spans="1:4" x14ac:dyDescent="0.2">
      <c r="A1727" s="728">
        <v>44783</v>
      </c>
      <c r="B1727" s="331">
        <f t="shared" si="24"/>
        <v>254730.8</v>
      </c>
      <c r="C1727" s="331">
        <f t="shared" si="26"/>
        <v>254530.8</v>
      </c>
      <c r="D1727" s="479">
        <v>200</v>
      </c>
    </row>
    <row r="1728" spans="1:4" x14ac:dyDescent="0.2">
      <c r="A1728" s="728">
        <v>44784</v>
      </c>
      <c r="B1728" s="331">
        <f t="shared" si="24"/>
        <v>277867.62</v>
      </c>
      <c r="C1728" s="331">
        <v>277667.62</v>
      </c>
      <c r="D1728" s="479">
        <v>200</v>
      </c>
    </row>
    <row r="1729" spans="1:4" x14ac:dyDescent="0.2">
      <c r="A1729" s="728">
        <v>44785</v>
      </c>
      <c r="B1729" s="331">
        <f t="shared" si="24"/>
        <v>278679.81</v>
      </c>
      <c r="C1729" s="331">
        <v>278479.81</v>
      </c>
      <c r="D1729" s="479">
        <v>200</v>
      </c>
    </row>
    <row r="1730" spans="1:4" x14ac:dyDescent="0.2">
      <c r="A1730" s="728">
        <v>44788</v>
      </c>
      <c r="B1730" s="331">
        <f t="shared" si="24"/>
        <v>278711.32</v>
      </c>
      <c r="C1730" s="331">
        <v>278511.32</v>
      </c>
      <c r="D1730" s="479">
        <v>200</v>
      </c>
    </row>
    <row r="1731" spans="1:4" x14ac:dyDescent="0.2">
      <c r="A1731" s="728">
        <v>44789</v>
      </c>
      <c r="B1731" s="331">
        <f t="shared" si="24"/>
        <v>238555.14</v>
      </c>
      <c r="C1731" s="331">
        <v>238355.14</v>
      </c>
      <c r="D1731" s="479">
        <v>200</v>
      </c>
    </row>
    <row r="1732" spans="1:4" x14ac:dyDescent="0.2">
      <c r="A1732" s="728">
        <v>44790</v>
      </c>
      <c r="B1732" s="331">
        <f t="shared" si="24"/>
        <v>238555.14</v>
      </c>
      <c r="C1732" s="331">
        <f t="shared" si="26"/>
        <v>238355.14</v>
      </c>
      <c r="D1732" s="479">
        <v>200</v>
      </c>
    </row>
    <row r="1733" spans="1:4" x14ac:dyDescent="0.2">
      <c r="A1733" s="728">
        <v>44791</v>
      </c>
      <c r="B1733" s="331">
        <f t="shared" si="24"/>
        <v>238555.14</v>
      </c>
      <c r="C1733" s="331">
        <f t="shared" si="26"/>
        <v>238355.14</v>
      </c>
      <c r="D1733" s="479">
        <v>200</v>
      </c>
    </row>
    <row r="1734" spans="1:4" x14ac:dyDescent="0.2">
      <c r="A1734" s="728">
        <v>44792</v>
      </c>
      <c r="B1734" s="331">
        <f t="shared" si="24"/>
        <v>227371.3</v>
      </c>
      <c r="C1734" s="331">
        <v>227171.3</v>
      </c>
      <c r="D1734" s="479">
        <v>200</v>
      </c>
    </row>
    <row r="1735" spans="1:4" x14ac:dyDescent="0.2">
      <c r="A1735" s="728">
        <v>44795</v>
      </c>
      <c r="B1735" s="331">
        <f t="shared" si="24"/>
        <v>227907.61</v>
      </c>
      <c r="C1735" s="331">
        <v>227707.61</v>
      </c>
      <c r="D1735" s="479">
        <v>200</v>
      </c>
    </row>
    <row r="1736" spans="1:4" x14ac:dyDescent="0.2">
      <c r="A1736" s="728">
        <v>44796</v>
      </c>
      <c r="B1736" s="331">
        <f t="shared" si="24"/>
        <v>227907.61</v>
      </c>
      <c r="C1736" s="331">
        <f t="shared" si="26"/>
        <v>227707.61</v>
      </c>
      <c r="D1736" s="479">
        <v>200</v>
      </c>
    </row>
    <row r="1737" spans="1:4" x14ac:dyDescent="0.2">
      <c r="A1737" s="728">
        <v>44797</v>
      </c>
      <c r="B1737" s="331">
        <f t="shared" si="24"/>
        <v>250036.67</v>
      </c>
      <c r="C1737" s="331">
        <v>249836.67</v>
      </c>
      <c r="D1737" s="479">
        <v>200</v>
      </c>
    </row>
    <row r="1738" spans="1:4" x14ac:dyDescent="0.2">
      <c r="A1738" s="728">
        <v>44798</v>
      </c>
      <c r="B1738" s="331">
        <f t="shared" si="24"/>
        <v>255964.71</v>
      </c>
      <c r="C1738" s="331">
        <v>255764.71</v>
      </c>
      <c r="D1738" s="479">
        <v>200</v>
      </c>
    </row>
    <row r="1739" spans="1:4" x14ac:dyDescent="0.2">
      <c r="A1739" s="728">
        <v>44799</v>
      </c>
      <c r="B1739" s="331">
        <f t="shared" si="24"/>
        <v>315493.2</v>
      </c>
      <c r="C1739" s="331">
        <v>315293.2</v>
      </c>
      <c r="D1739" s="479">
        <v>200</v>
      </c>
    </row>
    <row r="1740" spans="1:4" x14ac:dyDescent="0.2">
      <c r="A1740" s="728">
        <v>44802</v>
      </c>
      <c r="B1740" s="331">
        <f t="shared" si="24"/>
        <v>315493.2</v>
      </c>
      <c r="C1740" s="331">
        <f t="shared" si="26"/>
        <v>315293.2</v>
      </c>
      <c r="D1740" s="479">
        <v>200</v>
      </c>
    </row>
    <row r="1741" spans="1:4" x14ac:dyDescent="0.2">
      <c r="A1741" s="728">
        <v>44803</v>
      </c>
      <c r="B1741" s="331">
        <f t="shared" si="24"/>
        <v>332334.94</v>
      </c>
      <c r="C1741" s="331">
        <v>332134.94</v>
      </c>
      <c r="D1741" s="479">
        <v>200</v>
      </c>
    </row>
    <row r="1742" spans="1:4" x14ac:dyDescent="0.2">
      <c r="A1742" s="728">
        <v>44804</v>
      </c>
      <c r="B1742" s="331">
        <f t="shared" si="24"/>
        <v>332334.94</v>
      </c>
      <c r="C1742" s="331">
        <f t="shared" si="26"/>
        <v>332134.94</v>
      </c>
      <c r="D1742" s="479">
        <v>200</v>
      </c>
    </row>
    <row r="1743" spans="1:4" x14ac:dyDescent="0.2">
      <c r="A1743" s="728">
        <v>44805</v>
      </c>
      <c r="B1743" s="331">
        <f t="shared" si="24"/>
        <v>370869.56</v>
      </c>
      <c r="C1743" s="331">
        <v>370669.56</v>
      </c>
      <c r="D1743" s="479">
        <v>200</v>
      </c>
    </row>
    <row r="1744" spans="1:4" x14ac:dyDescent="0.2">
      <c r="A1744" s="728">
        <v>44806</v>
      </c>
      <c r="B1744" s="331">
        <f t="shared" si="24"/>
        <v>370394.58</v>
      </c>
      <c r="C1744" s="331">
        <v>370194.58</v>
      </c>
      <c r="D1744" s="479">
        <v>200</v>
      </c>
    </row>
    <row r="1745" spans="1:4" x14ac:dyDescent="0.2">
      <c r="A1745" s="728">
        <v>44809</v>
      </c>
      <c r="B1745" s="331">
        <f t="shared" si="24"/>
        <v>370394.58</v>
      </c>
      <c r="C1745" s="331">
        <f t="shared" si="26"/>
        <v>370194.58</v>
      </c>
      <c r="D1745" s="479">
        <v>200</v>
      </c>
    </row>
    <row r="1746" spans="1:4" x14ac:dyDescent="0.2">
      <c r="A1746" s="728">
        <v>44810</v>
      </c>
      <c r="B1746" s="331">
        <f t="shared" si="24"/>
        <v>346842.59</v>
      </c>
      <c r="C1746" s="331">
        <v>346642.59</v>
      </c>
      <c r="D1746" s="479">
        <v>200</v>
      </c>
    </row>
    <row r="1747" spans="1:4" x14ac:dyDescent="0.2">
      <c r="A1747" s="728">
        <v>44811</v>
      </c>
      <c r="B1747" s="331">
        <f t="shared" si="24"/>
        <v>346842.59</v>
      </c>
      <c r="C1747" s="331">
        <f t="shared" si="26"/>
        <v>346642.59</v>
      </c>
      <c r="D1747" s="479">
        <v>200</v>
      </c>
    </row>
    <row r="1748" spans="1:4" x14ac:dyDescent="0.2">
      <c r="A1748" s="728">
        <v>44812</v>
      </c>
      <c r="B1748" s="331">
        <f t="shared" si="24"/>
        <v>346842.59</v>
      </c>
      <c r="C1748" s="331">
        <f t="shared" si="26"/>
        <v>346642.59</v>
      </c>
      <c r="D1748" s="479">
        <v>200</v>
      </c>
    </row>
    <row r="1749" spans="1:4" x14ac:dyDescent="0.2">
      <c r="A1749" s="728">
        <v>44813</v>
      </c>
      <c r="B1749" s="331">
        <f t="shared" si="24"/>
        <v>347076.59</v>
      </c>
      <c r="C1749" s="331">
        <v>346876.59</v>
      </c>
      <c r="D1749" s="479">
        <v>200</v>
      </c>
    </row>
    <row r="1750" spans="1:4" x14ac:dyDescent="0.2">
      <c r="A1750" s="728">
        <v>44816</v>
      </c>
      <c r="B1750" s="331">
        <f t="shared" si="24"/>
        <v>308665.48</v>
      </c>
      <c r="C1750" s="331">
        <v>308465.48</v>
      </c>
      <c r="D1750" s="479">
        <v>200</v>
      </c>
    </row>
    <row r="1751" spans="1:4" x14ac:dyDescent="0.2">
      <c r="A1751" s="728">
        <v>44817</v>
      </c>
      <c r="B1751" s="331">
        <f t="shared" si="24"/>
        <v>308665.48</v>
      </c>
      <c r="C1751" s="331">
        <f t="shared" si="26"/>
        <v>308465.48</v>
      </c>
      <c r="D1751" s="479">
        <v>200</v>
      </c>
    </row>
    <row r="1752" spans="1:4" x14ac:dyDescent="0.2">
      <c r="A1752" s="728">
        <v>44818</v>
      </c>
      <c r="B1752" s="331">
        <f t="shared" si="24"/>
        <v>320782.46999999997</v>
      </c>
      <c r="C1752" s="331">
        <v>320582.46999999997</v>
      </c>
      <c r="D1752" s="479">
        <v>200</v>
      </c>
    </row>
    <row r="1753" spans="1:4" x14ac:dyDescent="0.2">
      <c r="A1753" s="728">
        <v>44819</v>
      </c>
      <c r="B1753" s="331">
        <f t="shared" si="24"/>
        <v>317911.17</v>
      </c>
      <c r="C1753" s="331">
        <v>317711.17</v>
      </c>
      <c r="D1753" s="479">
        <v>200</v>
      </c>
    </row>
    <row r="1754" spans="1:4" x14ac:dyDescent="0.2">
      <c r="A1754" s="728">
        <v>44820</v>
      </c>
      <c r="B1754" s="331">
        <f t="shared" si="24"/>
        <v>317436.19</v>
      </c>
      <c r="C1754" s="331">
        <v>317236.19</v>
      </c>
      <c r="D1754" s="479">
        <v>200</v>
      </c>
    </row>
    <row r="1755" spans="1:4" x14ac:dyDescent="0.2">
      <c r="A1755" s="728">
        <v>44823</v>
      </c>
      <c r="B1755" s="331">
        <f t="shared" si="24"/>
        <v>317436.19</v>
      </c>
      <c r="C1755" s="331">
        <f t="shared" si="26"/>
        <v>317236.19</v>
      </c>
      <c r="D1755" s="479">
        <v>200</v>
      </c>
    </row>
    <row r="1756" spans="1:4" x14ac:dyDescent="0.2">
      <c r="A1756" s="728">
        <v>44824</v>
      </c>
      <c r="B1756" s="331">
        <f t="shared" si="24"/>
        <v>428386.24</v>
      </c>
      <c r="C1756" s="331">
        <v>428186.24</v>
      </c>
      <c r="D1756" s="479">
        <v>200</v>
      </c>
    </row>
    <row r="1757" spans="1:4" x14ac:dyDescent="0.2">
      <c r="A1757" s="728">
        <v>44825</v>
      </c>
      <c r="B1757" s="331">
        <f t="shared" si="24"/>
        <v>428386.24</v>
      </c>
      <c r="C1757" s="331">
        <f t="shared" si="26"/>
        <v>428186.24</v>
      </c>
      <c r="D1757" s="479">
        <v>200</v>
      </c>
    </row>
    <row r="1758" spans="1:4" x14ac:dyDescent="0.2">
      <c r="A1758" s="728">
        <v>44826</v>
      </c>
      <c r="B1758" s="331">
        <f t="shared" si="24"/>
        <v>425851.86</v>
      </c>
      <c r="C1758" s="331">
        <v>425651.86</v>
      </c>
      <c r="D1758" s="479">
        <v>200</v>
      </c>
    </row>
    <row r="1759" spans="1:4" x14ac:dyDescent="0.2">
      <c r="A1759" s="728">
        <v>44827</v>
      </c>
      <c r="B1759" s="331">
        <f t="shared" si="24"/>
        <v>453679.91</v>
      </c>
      <c r="C1759" s="331">
        <v>453479.91</v>
      </c>
      <c r="D1759" s="479">
        <v>200</v>
      </c>
    </row>
    <row r="1760" spans="1:4" x14ac:dyDescent="0.2">
      <c r="A1760" s="728">
        <v>44830</v>
      </c>
      <c r="B1760" s="331">
        <f t="shared" si="24"/>
        <v>412431.05</v>
      </c>
      <c r="C1760" s="331">
        <v>412231.05</v>
      </c>
      <c r="D1760" s="479">
        <v>200</v>
      </c>
    </row>
    <row r="1761" spans="1:4" x14ac:dyDescent="0.2">
      <c r="A1761" s="728">
        <v>44831</v>
      </c>
      <c r="B1761" s="331">
        <f t="shared" si="24"/>
        <v>412402.21</v>
      </c>
      <c r="C1761" s="331">
        <v>412202.21</v>
      </c>
      <c r="D1761" s="479">
        <v>200</v>
      </c>
    </row>
    <row r="1762" spans="1:4" x14ac:dyDescent="0.2">
      <c r="A1762" s="728">
        <v>44832</v>
      </c>
      <c r="B1762" s="331">
        <f t="shared" si="24"/>
        <v>417372.63</v>
      </c>
      <c r="C1762" s="331">
        <v>417172.63</v>
      </c>
      <c r="D1762" s="479">
        <v>200</v>
      </c>
    </row>
    <row r="1763" spans="1:4" x14ac:dyDescent="0.2">
      <c r="A1763" s="728">
        <v>44833</v>
      </c>
      <c r="B1763" s="331">
        <f t="shared" si="24"/>
        <v>415449.23</v>
      </c>
      <c r="C1763" s="331">
        <v>415249.23</v>
      </c>
      <c r="D1763" s="479">
        <v>200</v>
      </c>
    </row>
    <row r="1764" spans="1:4" x14ac:dyDescent="0.2">
      <c r="A1764" s="728">
        <v>44834</v>
      </c>
      <c r="B1764" s="331">
        <f t="shared" si="24"/>
        <v>435708</v>
      </c>
      <c r="C1764" s="331">
        <v>435508</v>
      </c>
      <c r="D1764" s="479">
        <v>200</v>
      </c>
    </row>
    <row r="1765" spans="1:4" x14ac:dyDescent="0.2">
      <c r="A1765" s="728">
        <v>44835</v>
      </c>
      <c r="B1765" s="331">
        <f t="shared" si="24"/>
        <v>435708</v>
      </c>
      <c r="C1765" s="331">
        <f t="shared" si="26"/>
        <v>435508</v>
      </c>
      <c r="D1765" s="479">
        <v>200</v>
      </c>
    </row>
    <row r="1766" spans="1:4" x14ac:dyDescent="0.2">
      <c r="A1766" s="728">
        <v>44836</v>
      </c>
      <c r="B1766" s="331">
        <f t="shared" si="24"/>
        <v>435708</v>
      </c>
      <c r="C1766" s="331">
        <f t="shared" si="26"/>
        <v>435508</v>
      </c>
      <c r="D1766" s="479">
        <v>200</v>
      </c>
    </row>
    <row r="1767" spans="1:4" x14ac:dyDescent="0.2">
      <c r="A1767" s="728">
        <v>44837</v>
      </c>
      <c r="B1767" s="331">
        <f t="shared" si="24"/>
        <v>435708</v>
      </c>
      <c r="C1767" s="331">
        <f t="shared" si="26"/>
        <v>435508</v>
      </c>
      <c r="D1767" s="479">
        <v>200</v>
      </c>
    </row>
    <row r="1768" spans="1:4" x14ac:dyDescent="0.2">
      <c r="A1768" s="728">
        <v>44838</v>
      </c>
      <c r="B1768" s="331">
        <f t="shared" si="24"/>
        <v>435708</v>
      </c>
      <c r="C1768" s="331">
        <f t="shared" si="26"/>
        <v>435508</v>
      </c>
      <c r="D1768" s="479">
        <v>200</v>
      </c>
    </row>
    <row r="1769" spans="1:4" x14ac:dyDescent="0.2">
      <c r="A1769" s="728">
        <v>44839</v>
      </c>
      <c r="B1769" s="331">
        <f t="shared" si="24"/>
        <v>436040</v>
      </c>
      <c r="C1769" s="331">
        <v>435840</v>
      </c>
      <c r="D1769" s="479">
        <v>200</v>
      </c>
    </row>
    <row r="1770" spans="1:4" x14ac:dyDescent="0.2">
      <c r="A1770" s="728">
        <v>44840</v>
      </c>
      <c r="B1770" s="331">
        <f t="shared" si="24"/>
        <v>427559.36</v>
      </c>
      <c r="C1770" s="331">
        <v>427359.36</v>
      </c>
      <c r="D1770" s="479">
        <v>200</v>
      </c>
    </row>
    <row r="1771" spans="1:4" x14ac:dyDescent="0.2">
      <c r="A1771" s="728">
        <v>44841</v>
      </c>
      <c r="B1771" s="331">
        <f t="shared" si="24"/>
        <v>427559.36</v>
      </c>
      <c r="C1771" s="331">
        <f t="shared" si="26"/>
        <v>427359.36</v>
      </c>
      <c r="D1771" s="479">
        <v>200</v>
      </c>
    </row>
    <row r="1772" spans="1:4" x14ac:dyDescent="0.2">
      <c r="A1772" s="728">
        <v>44844</v>
      </c>
      <c r="B1772" s="331">
        <f t="shared" si="24"/>
        <v>427559.36</v>
      </c>
      <c r="C1772" s="331">
        <f t="shared" si="26"/>
        <v>427359.36</v>
      </c>
      <c r="D1772" s="479">
        <v>200</v>
      </c>
    </row>
    <row r="1773" spans="1:4" x14ac:dyDescent="0.2">
      <c r="A1773" s="728">
        <v>44845</v>
      </c>
      <c r="B1773" s="331">
        <f t="shared" si="24"/>
        <v>388161.54</v>
      </c>
      <c r="C1773" s="331">
        <v>387961.54</v>
      </c>
      <c r="D1773" s="479">
        <v>200</v>
      </c>
    </row>
    <row r="1774" spans="1:4" x14ac:dyDescent="0.2">
      <c r="A1774" s="728">
        <v>44846</v>
      </c>
      <c r="B1774" s="331">
        <f t="shared" si="24"/>
        <v>388161.54</v>
      </c>
      <c r="C1774" s="331">
        <f t="shared" si="26"/>
        <v>387961.54</v>
      </c>
      <c r="D1774" s="479">
        <v>200</v>
      </c>
    </row>
    <row r="1775" spans="1:4" x14ac:dyDescent="0.2">
      <c r="A1775" s="728">
        <v>44847</v>
      </c>
      <c r="B1775" s="331">
        <f t="shared" si="24"/>
        <v>381514.53</v>
      </c>
      <c r="C1775" s="331">
        <v>381314.53</v>
      </c>
      <c r="D1775" s="479">
        <v>200</v>
      </c>
    </row>
    <row r="1776" spans="1:4" x14ac:dyDescent="0.2">
      <c r="A1776" s="728">
        <v>44848</v>
      </c>
      <c r="B1776" s="331">
        <f t="shared" si="24"/>
        <v>389507.01</v>
      </c>
      <c r="C1776" s="331">
        <v>389307.01</v>
      </c>
      <c r="D1776" s="479">
        <v>200</v>
      </c>
    </row>
    <row r="1777" spans="1:4" x14ac:dyDescent="0.2">
      <c r="A1777" s="728">
        <v>44849</v>
      </c>
      <c r="B1777" s="331">
        <f t="shared" si="24"/>
        <v>389507.01</v>
      </c>
      <c r="C1777" s="331">
        <f t="shared" ref="C1777:C1840" si="27">C1776</f>
        <v>389307.01</v>
      </c>
      <c r="D1777" s="479">
        <v>200</v>
      </c>
    </row>
    <row r="1778" spans="1:4" x14ac:dyDescent="0.2">
      <c r="A1778" s="728">
        <v>44850</v>
      </c>
      <c r="B1778" s="331">
        <f t="shared" si="24"/>
        <v>389507.01</v>
      </c>
      <c r="C1778" s="331">
        <f t="shared" si="27"/>
        <v>389307.01</v>
      </c>
      <c r="D1778" s="479">
        <v>200</v>
      </c>
    </row>
    <row r="1779" spans="1:4" x14ac:dyDescent="0.2">
      <c r="A1779" s="728">
        <v>44851</v>
      </c>
      <c r="B1779" s="331">
        <f t="shared" si="24"/>
        <v>414035.71</v>
      </c>
      <c r="C1779" s="331">
        <v>413835.71</v>
      </c>
      <c r="D1779" s="479">
        <v>200</v>
      </c>
    </row>
    <row r="1780" spans="1:4" x14ac:dyDescent="0.2">
      <c r="A1780" s="728">
        <v>44852</v>
      </c>
      <c r="B1780" s="331">
        <f t="shared" si="24"/>
        <v>413985.71</v>
      </c>
      <c r="C1780" s="331">
        <v>413785.71</v>
      </c>
      <c r="D1780" s="479">
        <v>200</v>
      </c>
    </row>
    <row r="1781" spans="1:4" x14ac:dyDescent="0.2">
      <c r="A1781" s="728">
        <v>44853</v>
      </c>
      <c r="B1781" s="331">
        <f t="shared" si="24"/>
        <v>413985.71</v>
      </c>
      <c r="C1781" s="331">
        <f t="shared" si="27"/>
        <v>413785.71</v>
      </c>
      <c r="D1781" s="479">
        <v>200</v>
      </c>
    </row>
    <row r="1782" spans="1:4" x14ac:dyDescent="0.2">
      <c r="A1782" s="728">
        <v>44854</v>
      </c>
      <c r="B1782" s="331">
        <f t="shared" si="24"/>
        <v>411319.14</v>
      </c>
      <c r="C1782" s="331">
        <v>411119.14</v>
      </c>
      <c r="D1782" s="479">
        <v>200</v>
      </c>
    </row>
    <row r="1783" spans="1:4" x14ac:dyDescent="0.2">
      <c r="A1783" s="728">
        <v>44855</v>
      </c>
      <c r="B1783" s="331">
        <f t="shared" si="24"/>
        <v>411160.29</v>
      </c>
      <c r="C1783" s="331">
        <v>410960.29</v>
      </c>
      <c r="D1783" s="479">
        <v>200</v>
      </c>
    </row>
    <row r="1784" spans="1:4" x14ac:dyDescent="0.2">
      <c r="A1784" s="728">
        <v>44856</v>
      </c>
      <c r="B1784" s="331">
        <f t="shared" si="24"/>
        <v>411160.29</v>
      </c>
      <c r="C1784" s="331">
        <f t="shared" si="27"/>
        <v>410960.29</v>
      </c>
      <c r="D1784" s="479">
        <v>200</v>
      </c>
    </row>
    <row r="1785" spans="1:4" x14ac:dyDescent="0.2">
      <c r="A1785" s="728">
        <v>44857</v>
      </c>
      <c r="B1785" s="331">
        <f t="shared" si="24"/>
        <v>411160.29</v>
      </c>
      <c r="C1785" s="331">
        <f t="shared" si="27"/>
        <v>410960.29</v>
      </c>
      <c r="D1785" s="479">
        <v>200</v>
      </c>
    </row>
    <row r="1786" spans="1:4" x14ac:dyDescent="0.2">
      <c r="A1786" s="728">
        <v>44858</v>
      </c>
      <c r="B1786" s="331">
        <f t="shared" si="24"/>
        <v>372476.51</v>
      </c>
      <c r="C1786" s="331">
        <v>372276.51</v>
      </c>
      <c r="D1786" s="479">
        <v>200</v>
      </c>
    </row>
    <row r="1787" spans="1:4" x14ac:dyDescent="0.2">
      <c r="A1787" s="728">
        <v>44859</v>
      </c>
      <c r="B1787" s="331">
        <f t="shared" si="24"/>
        <v>376660.01</v>
      </c>
      <c r="C1787" s="331">
        <v>376460.01</v>
      </c>
      <c r="D1787" s="479">
        <v>200</v>
      </c>
    </row>
    <row r="1788" spans="1:4" x14ac:dyDescent="0.2">
      <c r="A1788" s="728">
        <v>44860</v>
      </c>
      <c r="B1788" s="331">
        <f t="shared" si="24"/>
        <v>397613.66</v>
      </c>
      <c r="C1788" s="331">
        <v>397413.66</v>
      </c>
      <c r="D1788" s="479">
        <v>200</v>
      </c>
    </row>
    <row r="1789" spans="1:4" x14ac:dyDescent="0.2">
      <c r="A1789" s="728">
        <v>44861</v>
      </c>
      <c r="B1789" s="331">
        <f t="shared" si="24"/>
        <v>387878.55</v>
      </c>
      <c r="C1789" s="331">
        <v>387678.55</v>
      </c>
      <c r="D1789" s="479">
        <v>200</v>
      </c>
    </row>
    <row r="1790" spans="1:4" x14ac:dyDescent="0.2">
      <c r="A1790" s="728">
        <v>44862</v>
      </c>
      <c r="B1790" s="331">
        <f t="shared" si="24"/>
        <v>387403.57</v>
      </c>
      <c r="C1790" s="331">
        <v>387203.57</v>
      </c>
      <c r="D1790" s="479">
        <v>200</v>
      </c>
    </row>
    <row r="1791" spans="1:4" x14ac:dyDescent="0.2">
      <c r="A1791" s="728">
        <v>44863</v>
      </c>
      <c r="B1791" s="331">
        <f t="shared" si="24"/>
        <v>387403.57</v>
      </c>
      <c r="C1791" s="331">
        <f t="shared" si="27"/>
        <v>387203.57</v>
      </c>
      <c r="D1791" s="479">
        <v>200</v>
      </c>
    </row>
    <row r="1792" spans="1:4" x14ac:dyDescent="0.2">
      <c r="A1792" s="728">
        <v>44864</v>
      </c>
      <c r="B1792" s="331">
        <f t="shared" si="24"/>
        <v>387403.57</v>
      </c>
      <c r="C1792" s="331">
        <f t="shared" si="27"/>
        <v>387203.57</v>
      </c>
      <c r="D1792" s="479">
        <v>200</v>
      </c>
    </row>
    <row r="1793" spans="1:4" x14ac:dyDescent="0.2">
      <c r="A1793" s="728">
        <v>44865</v>
      </c>
      <c r="B1793" s="331">
        <f t="shared" si="24"/>
        <v>417270.82</v>
      </c>
      <c r="C1793" s="331">
        <v>417070.82</v>
      </c>
      <c r="D1793" s="479">
        <v>200</v>
      </c>
    </row>
    <row r="1794" spans="1:4" x14ac:dyDescent="0.2">
      <c r="A1794" s="728">
        <v>44866</v>
      </c>
      <c r="B1794" s="331">
        <f t="shared" si="24"/>
        <v>417270.82</v>
      </c>
      <c r="C1794" s="331">
        <f t="shared" si="27"/>
        <v>417070.82</v>
      </c>
      <c r="D1794" s="479">
        <v>200</v>
      </c>
    </row>
    <row r="1795" spans="1:4" x14ac:dyDescent="0.2">
      <c r="A1795" s="728">
        <v>44867</v>
      </c>
      <c r="B1795" s="331">
        <f t="shared" si="24"/>
        <v>417270.82</v>
      </c>
      <c r="C1795" s="331">
        <f t="shared" si="27"/>
        <v>417070.82</v>
      </c>
      <c r="D1795" s="479">
        <v>200</v>
      </c>
    </row>
    <row r="1796" spans="1:4" x14ac:dyDescent="0.2">
      <c r="A1796" s="728">
        <v>44868</v>
      </c>
      <c r="B1796" s="331">
        <f t="shared" si="24"/>
        <v>411865.95</v>
      </c>
      <c r="C1796" s="331">
        <v>411665.95</v>
      </c>
      <c r="D1796" s="479">
        <v>200</v>
      </c>
    </row>
    <row r="1797" spans="1:4" x14ac:dyDescent="0.2">
      <c r="A1797" s="728">
        <v>44869</v>
      </c>
      <c r="B1797" s="331">
        <f t="shared" si="24"/>
        <v>411865.95</v>
      </c>
      <c r="C1797" s="331">
        <f t="shared" si="27"/>
        <v>411665.95</v>
      </c>
      <c r="D1797" s="479">
        <v>200</v>
      </c>
    </row>
    <row r="1798" spans="1:4" x14ac:dyDescent="0.2">
      <c r="A1798" s="728">
        <v>44870</v>
      </c>
      <c r="B1798" s="331">
        <f t="shared" si="24"/>
        <v>411865.95</v>
      </c>
      <c r="C1798" s="331">
        <f t="shared" si="27"/>
        <v>411665.95</v>
      </c>
      <c r="D1798" s="479">
        <v>200</v>
      </c>
    </row>
    <row r="1799" spans="1:4" x14ac:dyDescent="0.2">
      <c r="A1799" s="728">
        <v>44871</v>
      </c>
      <c r="B1799" s="331">
        <f t="shared" si="24"/>
        <v>411865.95</v>
      </c>
      <c r="C1799" s="331">
        <f t="shared" si="27"/>
        <v>411665.95</v>
      </c>
      <c r="D1799" s="479">
        <v>200</v>
      </c>
    </row>
    <row r="1800" spans="1:4" x14ac:dyDescent="0.2">
      <c r="A1800" s="728">
        <v>44872</v>
      </c>
      <c r="B1800" s="331">
        <f t="shared" si="24"/>
        <v>368529.24</v>
      </c>
      <c r="C1800" s="331">
        <v>368329.24</v>
      </c>
      <c r="D1800" s="479">
        <v>200</v>
      </c>
    </row>
    <row r="1801" spans="1:4" x14ac:dyDescent="0.2">
      <c r="A1801" s="728">
        <v>44873</v>
      </c>
      <c r="B1801" s="331">
        <f t="shared" si="24"/>
        <v>369146.24</v>
      </c>
      <c r="C1801" s="331">
        <v>368946.24</v>
      </c>
      <c r="D1801" s="479">
        <v>200</v>
      </c>
    </row>
    <row r="1802" spans="1:4" x14ac:dyDescent="0.2">
      <c r="A1802" s="728">
        <v>44874</v>
      </c>
      <c r="B1802" s="331">
        <f t="shared" ref="B1802:B1865" si="28">C1802+D1802</f>
        <v>369146.24</v>
      </c>
      <c r="C1802" s="331">
        <f t="shared" si="27"/>
        <v>368946.24</v>
      </c>
      <c r="D1802" s="479">
        <v>200</v>
      </c>
    </row>
    <row r="1803" spans="1:4" x14ac:dyDescent="0.2">
      <c r="A1803" s="728">
        <v>44875</v>
      </c>
      <c r="B1803" s="331">
        <f t="shared" si="28"/>
        <v>423875.79</v>
      </c>
      <c r="C1803" s="331">
        <v>423675.79</v>
      </c>
      <c r="D1803" s="479">
        <v>200</v>
      </c>
    </row>
    <row r="1804" spans="1:4" x14ac:dyDescent="0.2">
      <c r="A1804" s="728">
        <v>44876</v>
      </c>
      <c r="B1804" s="331">
        <f t="shared" si="28"/>
        <v>423875.79</v>
      </c>
      <c r="C1804" s="331">
        <f t="shared" si="27"/>
        <v>423675.79</v>
      </c>
      <c r="D1804" s="479">
        <v>200</v>
      </c>
    </row>
    <row r="1805" spans="1:4" x14ac:dyDescent="0.2">
      <c r="A1805" s="728">
        <v>44879</v>
      </c>
      <c r="B1805" s="331">
        <f t="shared" si="28"/>
        <v>423400.81</v>
      </c>
      <c r="C1805" s="331">
        <v>423200.81</v>
      </c>
      <c r="D1805" s="479">
        <v>200</v>
      </c>
    </row>
    <row r="1806" spans="1:4" x14ac:dyDescent="0.2">
      <c r="A1806" s="728">
        <v>44880</v>
      </c>
      <c r="B1806" s="331">
        <f t="shared" si="28"/>
        <v>423210.99</v>
      </c>
      <c r="C1806" s="331">
        <v>423010.99</v>
      </c>
      <c r="D1806" s="479">
        <v>200</v>
      </c>
    </row>
    <row r="1807" spans="1:4" x14ac:dyDescent="0.2">
      <c r="A1807" s="728">
        <v>44881</v>
      </c>
      <c r="B1807" s="331">
        <f t="shared" si="28"/>
        <v>473210.99</v>
      </c>
      <c r="C1807" s="331">
        <v>473010.99</v>
      </c>
      <c r="D1807" s="479">
        <v>200</v>
      </c>
    </row>
    <row r="1808" spans="1:4" x14ac:dyDescent="0.2">
      <c r="A1808" s="728">
        <v>44882</v>
      </c>
      <c r="B1808" s="331">
        <f t="shared" si="28"/>
        <v>470084.64</v>
      </c>
      <c r="C1808" s="331">
        <v>469884.64</v>
      </c>
      <c r="D1808" s="479">
        <v>200</v>
      </c>
    </row>
    <row r="1809" spans="1:4" x14ac:dyDescent="0.2">
      <c r="A1809" s="728">
        <v>44883</v>
      </c>
      <c r="B1809" s="331">
        <f t="shared" si="28"/>
        <v>470084.64</v>
      </c>
      <c r="C1809" s="331">
        <f t="shared" si="27"/>
        <v>469884.64</v>
      </c>
      <c r="D1809" s="479">
        <v>200</v>
      </c>
    </row>
    <row r="1810" spans="1:4" x14ac:dyDescent="0.2">
      <c r="A1810" s="728">
        <v>44886</v>
      </c>
      <c r="B1810" s="331">
        <f t="shared" si="28"/>
        <v>424767.46</v>
      </c>
      <c r="C1810" s="331">
        <v>424567.46</v>
      </c>
      <c r="D1810" s="479">
        <v>200</v>
      </c>
    </row>
    <row r="1811" spans="1:4" x14ac:dyDescent="0.2">
      <c r="A1811" s="728">
        <v>44887</v>
      </c>
      <c r="B1811" s="331">
        <f t="shared" si="28"/>
        <v>424767.46</v>
      </c>
      <c r="C1811" s="331">
        <f t="shared" si="27"/>
        <v>424567.46</v>
      </c>
      <c r="D1811" s="479">
        <v>200</v>
      </c>
    </row>
    <row r="1812" spans="1:4" x14ac:dyDescent="0.2">
      <c r="A1812" s="728">
        <v>44888</v>
      </c>
      <c r="B1812" s="331">
        <f t="shared" si="28"/>
        <v>424767.46</v>
      </c>
      <c r="C1812" s="331">
        <f t="shared" si="27"/>
        <v>424567.46</v>
      </c>
      <c r="D1812" s="479">
        <v>200</v>
      </c>
    </row>
    <row r="1813" spans="1:4" x14ac:dyDescent="0.2">
      <c r="A1813" s="728">
        <v>44889</v>
      </c>
      <c r="B1813" s="331">
        <f t="shared" si="28"/>
        <v>424767.46</v>
      </c>
      <c r="C1813" s="331">
        <f t="shared" si="27"/>
        <v>424567.46</v>
      </c>
      <c r="D1813" s="479">
        <v>200</v>
      </c>
    </row>
    <row r="1814" spans="1:4" x14ac:dyDescent="0.2">
      <c r="A1814" s="728">
        <v>44890</v>
      </c>
      <c r="B1814" s="331">
        <f t="shared" si="28"/>
        <v>442650.11</v>
      </c>
      <c r="C1814" s="331">
        <v>442450.11</v>
      </c>
      <c r="D1814" s="479">
        <v>200</v>
      </c>
    </row>
    <row r="1815" spans="1:4" x14ac:dyDescent="0.2">
      <c r="A1815" s="728">
        <v>44893</v>
      </c>
      <c r="B1815" s="331">
        <f t="shared" si="28"/>
        <v>442518.27</v>
      </c>
      <c r="C1815" s="331">
        <v>442318.27</v>
      </c>
      <c r="D1815" s="479">
        <v>200</v>
      </c>
    </row>
    <row r="1816" spans="1:4" x14ac:dyDescent="0.2">
      <c r="A1816" s="728">
        <v>44894</v>
      </c>
      <c r="B1816" s="331">
        <f t="shared" si="28"/>
        <v>442518.27</v>
      </c>
      <c r="C1816" s="331">
        <f t="shared" si="27"/>
        <v>442318.27</v>
      </c>
      <c r="D1816" s="479">
        <v>200</v>
      </c>
    </row>
    <row r="1817" spans="1:4" x14ac:dyDescent="0.2">
      <c r="A1817" s="728">
        <v>44895</v>
      </c>
      <c r="B1817" s="331">
        <f t="shared" si="28"/>
        <v>442518.27</v>
      </c>
      <c r="C1817" s="331">
        <f t="shared" si="27"/>
        <v>442318.27</v>
      </c>
      <c r="D1817" s="479">
        <v>200</v>
      </c>
    </row>
    <row r="1818" spans="1:4" x14ac:dyDescent="0.2">
      <c r="A1818" s="728">
        <v>44896</v>
      </c>
      <c r="B1818" s="331">
        <f t="shared" si="28"/>
        <v>442518.27</v>
      </c>
      <c r="C1818" s="331">
        <f t="shared" si="27"/>
        <v>442318.27</v>
      </c>
      <c r="D1818" s="479">
        <v>200</v>
      </c>
    </row>
    <row r="1819" spans="1:4" x14ac:dyDescent="0.2">
      <c r="A1819" s="728">
        <v>44897</v>
      </c>
      <c r="B1819" s="331">
        <f t="shared" si="28"/>
        <v>420942.38</v>
      </c>
      <c r="C1819" s="331">
        <v>420742.38</v>
      </c>
      <c r="D1819" s="479">
        <v>200</v>
      </c>
    </row>
    <row r="1820" spans="1:4" x14ac:dyDescent="0.2">
      <c r="A1820" s="728">
        <v>44900</v>
      </c>
      <c r="B1820" s="331">
        <f t="shared" si="28"/>
        <v>379216.39</v>
      </c>
      <c r="C1820" s="331">
        <v>379016.39</v>
      </c>
      <c r="D1820" s="479">
        <v>200</v>
      </c>
    </row>
    <row r="1821" spans="1:4" x14ac:dyDescent="0.2">
      <c r="A1821" s="728">
        <v>44901</v>
      </c>
      <c r="B1821" s="331">
        <f t="shared" si="28"/>
        <v>379216.39</v>
      </c>
      <c r="C1821" s="331">
        <f t="shared" si="27"/>
        <v>379016.39</v>
      </c>
      <c r="D1821" s="479">
        <v>200</v>
      </c>
    </row>
    <row r="1822" spans="1:4" x14ac:dyDescent="0.2">
      <c r="A1822" s="728">
        <v>44902</v>
      </c>
      <c r="B1822" s="331">
        <f t="shared" si="28"/>
        <v>379216.39</v>
      </c>
      <c r="C1822" s="331">
        <f t="shared" si="27"/>
        <v>379016.39</v>
      </c>
      <c r="D1822" s="479">
        <v>200</v>
      </c>
    </row>
    <row r="1823" spans="1:4" x14ac:dyDescent="0.2">
      <c r="A1823" s="728">
        <v>44903</v>
      </c>
      <c r="B1823" s="331">
        <f t="shared" si="28"/>
        <v>379216.39</v>
      </c>
      <c r="C1823" s="331">
        <f t="shared" si="27"/>
        <v>379016.39</v>
      </c>
      <c r="D1823" s="479">
        <v>200</v>
      </c>
    </row>
    <row r="1824" spans="1:4" x14ac:dyDescent="0.2">
      <c r="A1824" s="728">
        <v>44904</v>
      </c>
      <c r="B1824" s="331">
        <f t="shared" si="28"/>
        <v>383318.34</v>
      </c>
      <c r="C1824" s="331">
        <v>383118.34</v>
      </c>
      <c r="D1824" s="479">
        <v>200</v>
      </c>
    </row>
    <row r="1825" spans="1:4" x14ac:dyDescent="0.2">
      <c r="A1825" s="728">
        <v>44907</v>
      </c>
      <c r="B1825" s="331">
        <f t="shared" si="28"/>
        <v>383318.34</v>
      </c>
      <c r="C1825" s="331">
        <f t="shared" si="27"/>
        <v>383118.34</v>
      </c>
      <c r="D1825" s="479">
        <v>200</v>
      </c>
    </row>
    <row r="1826" spans="1:4" x14ac:dyDescent="0.2">
      <c r="A1826" s="728">
        <v>44908</v>
      </c>
      <c r="B1826" s="331">
        <f t="shared" si="28"/>
        <v>383318.34</v>
      </c>
      <c r="C1826" s="331">
        <f t="shared" si="27"/>
        <v>383118.34</v>
      </c>
      <c r="D1826" s="479">
        <v>200</v>
      </c>
    </row>
    <row r="1827" spans="1:4" x14ac:dyDescent="0.2">
      <c r="A1827" s="728">
        <v>44909</v>
      </c>
      <c r="B1827" s="331">
        <f t="shared" si="28"/>
        <v>378306.47</v>
      </c>
      <c r="C1827" s="331">
        <v>378106.47</v>
      </c>
      <c r="D1827" s="479">
        <v>200</v>
      </c>
    </row>
    <row r="1828" spans="1:4" x14ac:dyDescent="0.2">
      <c r="A1828" s="728">
        <v>44910</v>
      </c>
      <c r="B1828" s="331">
        <f t="shared" si="28"/>
        <v>385097.98</v>
      </c>
      <c r="C1828" s="331">
        <v>384897.98</v>
      </c>
      <c r="D1828" s="479">
        <v>200</v>
      </c>
    </row>
    <row r="1829" spans="1:4" x14ac:dyDescent="0.2">
      <c r="A1829" s="728">
        <v>44911</v>
      </c>
      <c r="B1829" s="331">
        <f t="shared" si="28"/>
        <v>385399.2</v>
      </c>
      <c r="C1829" s="331">
        <v>385199.2</v>
      </c>
      <c r="D1829" s="479">
        <v>200</v>
      </c>
    </row>
    <row r="1830" spans="1:4" x14ac:dyDescent="0.2">
      <c r="A1830" s="728">
        <v>44914</v>
      </c>
      <c r="B1830" s="331">
        <f t="shared" si="28"/>
        <v>385399.2</v>
      </c>
      <c r="C1830" s="331">
        <f t="shared" si="27"/>
        <v>385199.2</v>
      </c>
      <c r="D1830" s="479">
        <v>200</v>
      </c>
    </row>
    <row r="1831" spans="1:4" x14ac:dyDescent="0.2">
      <c r="A1831" s="728">
        <v>44915</v>
      </c>
      <c r="B1831" s="331">
        <f t="shared" si="28"/>
        <v>343338.22</v>
      </c>
      <c r="C1831" s="331">
        <v>343138.22</v>
      </c>
      <c r="D1831" s="479">
        <v>200</v>
      </c>
    </row>
    <row r="1832" spans="1:4" x14ac:dyDescent="0.2">
      <c r="A1832" s="728">
        <v>44916</v>
      </c>
      <c r="B1832" s="331">
        <f t="shared" si="28"/>
        <v>339355.16</v>
      </c>
      <c r="C1832" s="331">
        <v>339155.16</v>
      </c>
      <c r="D1832" s="479">
        <v>200</v>
      </c>
    </row>
    <row r="1833" spans="1:4" x14ac:dyDescent="0.2">
      <c r="A1833" s="728">
        <v>44917</v>
      </c>
      <c r="B1833" s="331">
        <f t="shared" si="28"/>
        <v>346945.63</v>
      </c>
      <c r="C1833" s="331">
        <v>346745.63</v>
      </c>
      <c r="D1833" s="479">
        <v>200</v>
      </c>
    </row>
    <row r="1834" spans="1:4" x14ac:dyDescent="0.2">
      <c r="A1834" s="728">
        <v>44918</v>
      </c>
      <c r="B1834" s="331">
        <f t="shared" si="28"/>
        <v>346470.13</v>
      </c>
      <c r="C1834" s="331">
        <v>346270.13</v>
      </c>
      <c r="D1834" s="479">
        <v>200</v>
      </c>
    </row>
    <row r="1835" spans="1:4" x14ac:dyDescent="0.2">
      <c r="A1835" s="728">
        <v>44921</v>
      </c>
      <c r="B1835" s="331">
        <f t="shared" si="28"/>
        <v>346470.13</v>
      </c>
      <c r="C1835" s="331">
        <f t="shared" si="27"/>
        <v>346270.13</v>
      </c>
      <c r="D1835" s="479">
        <v>200</v>
      </c>
    </row>
    <row r="1836" spans="1:4" x14ac:dyDescent="0.2">
      <c r="A1836" s="728">
        <v>44922</v>
      </c>
      <c r="B1836" s="331">
        <f t="shared" si="28"/>
        <v>346470.13</v>
      </c>
      <c r="C1836" s="331">
        <f t="shared" si="27"/>
        <v>346270.13</v>
      </c>
      <c r="D1836" s="479">
        <v>200</v>
      </c>
    </row>
    <row r="1837" spans="1:4" x14ac:dyDescent="0.2">
      <c r="A1837" s="728">
        <v>44923</v>
      </c>
      <c r="B1837" s="331">
        <f t="shared" si="28"/>
        <v>432503.36</v>
      </c>
      <c r="C1837" s="331">
        <v>432303.35999999999</v>
      </c>
      <c r="D1837" s="479">
        <v>200</v>
      </c>
    </row>
    <row r="1838" spans="1:4" x14ac:dyDescent="0.2">
      <c r="A1838" s="728">
        <v>44924</v>
      </c>
      <c r="B1838" s="331">
        <f t="shared" si="28"/>
        <v>432600.88</v>
      </c>
      <c r="C1838" s="331">
        <v>432400.88</v>
      </c>
      <c r="D1838" s="479">
        <v>200</v>
      </c>
    </row>
    <row r="1839" spans="1:4" x14ac:dyDescent="0.2">
      <c r="A1839" s="728">
        <v>44925</v>
      </c>
      <c r="B1839" s="364">
        <f t="shared" si="28"/>
        <v>432698.4</v>
      </c>
      <c r="C1839" s="331">
        <v>432498.4</v>
      </c>
      <c r="D1839" s="479">
        <v>200</v>
      </c>
    </row>
    <row r="1840" spans="1:4" x14ac:dyDescent="0.2">
      <c r="A1840" s="728">
        <v>44928</v>
      </c>
      <c r="B1840" s="331">
        <f t="shared" si="28"/>
        <v>432698.4</v>
      </c>
      <c r="C1840" s="331">
        <f t="shared" si="27"/>
        <v>432498.4</v>
      </c>
      <c r="D1840" s="479">
        <v>200</v>
      </c>
    </row>
    <row r="1841" spans="1:4" x14ac:dyDescent="0.2">
      <c r="A1841" s="728">
        <v>44929</v>
      </c>
      <c r="B1841" s="331">
        <f t="shared" si="28"/>
        <v>432648.4</v>
      </c>
      <c r="C1841" s="331">
        <v>432448.4</v>
      </c>
      <c r="D1841" s="479">
        <v>200</v>
      </c>
    </row>
    <row r="1842" spans="1:4" x14ac:dyDescent="0.2">
      <c r="A1842" s="728">
        <v>44930</v>
      </c>
      <c r="B1842" s="331">
        <f t="shared" si="28"/>
        <v>432648.4</v>
      </c>
      <c r="C1842" s="331">
        <f t="shared" ref="C1842:C1877" si="29">C1841</f>
        <v>432448.4</v>
      </c>
      <c r="D1842" s="479">
        <v>200</v>
      </c>
    </row>
    <row r="1843" spans="1:4" x14ac:dyDescent="0.2">
      <c r="A1843" s="728">
        <v>44931</v>
      </c>
      <c r="B1843" s="331">
        <f t="shared" si="28"/>
        <v>376288.8</v>
      </c>
      <c r="C1843" s="331">
        <v>376088.8</v>
      </c>
      <c r="D1843" s="479">
        <v>200</v>
      </c>
    </row>
    <row r="1844" spans="1:4" x14ac:dyDescent="0.2">
      <c r="A1844" s="728">
        <v>44932</v>
      </c>
      <c r="B1844" s="331">
        <f t="shared" si="28"/>
        <v>375846.51</v>
      </c>
      <c r="C1844" s="331">
        <v>375646.51</v>
      </c>
      <c r="D1844" s="479">
        <v>200</v>
      </c>
    </row>
    <row r="1845" spans="1:4" x14ac:dyDescent="0.2">
      <c r="A1845" s="728">
        <v>44935</v>
      </c>
      <c r="B1845" s="331">
        <f t="shared" si="28"/>
        <v>375246.51</v>
      </c>
      <c r="C1845" s="331">
        <v>375046.51</v>
      </c>
      <c r="D1845" s="479">
        <v>200</v>
      </c>
    </row>
    <row r="1846" spans="1:4" x14ac:dyDescent="0.2">
      <c r="A1846" s="728">
        <v>44936</v>
      </c>
      <c r="B1846" s="331">
        <f t="shared" si="28"/>
        <v>375703.51</v>
      </c>
      <c r="C1846" s="331">
        <v>375503.51</v>
      </c>
      <c r="D1846" s="479">
        <v>200</v>
      </c>
    </row>
    <row r="1847" spans="1:4" x14ac:dyDescent="0.2">
      <c r="A1847" s="728">
        <v>44937</v>
      </c>
      <c r="B1847" s="331">
        <f t="shared" si="28"/>
        <v>375837.32</v>
      </c>
      <c r="C1847" s="331">
        <v>375637.32</v>
      </c>
      <c r="D1847" s="479">
        <v>200</v>
      </c>
    </row>
    <row r="1848" spans="1:4" x14ac:dyDescent="0.2">
      <c r="A1848" s="728">
        <v>44938</v>
      </c>
      <c r="B1848" s="331">
        <f t="shared" si="28"/>
        <v>358313.37</v>
      </c>
      <c r="C1848" s="331">
        <v>358113.37</v>
      </c>
      <c r="D1848" s="479">
        <v>200</v>
      </c>
    </row>
    <row r="1849" spans="1:4" x14ac:dyDescent="0.2">
      <c r="A1849" s="728">
        <v>44939</v>
      </c>
      <c r="B1849" s="331">
        <f t="shared" si="28"/>
        <v>362655.36</v>
      </c>
      <c r="C1849" s="331">
        <v>362455.36</v>
      </c>
      <c r="D1849" s="479">
        <v>200</v>
      </c>
    </row>
    <row r="1850" spans="1:4" x14ac:dyDescent="0.2">
      <c r="A1850" s="728">
        <v>44942</v>
      </c>
      <c r="B1850" s="331">
        <f t="shared" si="28"/>
        <v>362655.36</v>
      </c>
      <c r="C1850" s="331">
        <f t="shared" si="29"/>
        <v>362455.36</v>
      </c>
      <c r="D1850" s="479">
        <v>200</v>
      </c>
    </row>
    <row r="1851" spans="1:4" x14ac:dyDescent="0.2">
      <c r="A1851" s="728">
        <v>44943</v>
      </c>
      <c r="B1851" s="331">
        <f t="shared" si="28"/>
        <v>296234.34999999998</v>
      </c>
      <c r="C1851" s="331">
        <v>296034.34999999998</v>
      </c>
      <c r="D1851" s="479">
        <v>200</v>
      </c>
    </row>
    <row r="1852" spans="1:4" x14ac:dyDescent="0.2">
      <c r="A1852" s="728">
        <v>44944</v>
      </c>
      <c r="B1852" s="331">
        <f t="shared" si="28"/>
        <v>309641.15000000002</v>
      </c>
      <c r="C1852" s="331">
        <v>309441.15000000002</v>
      </c>
      <c r="D1852" s="479">
        <v>200</v>
      </c>
    </row>
    <row r="1853" spans="1:4" x14ac:dyDescent="0.2">
      <c r="A1853" s="728">
        <v>44945</v>
      </c>
      <c r="B1853" s="331">
        <f t="shared" si="28"/>
        <v>316446.05</v>
      </c>
      <c r="C1853" s="331">
        <v>316246.05</v>
      </c>
      <c r="D1853" s="479">
        <v>200</v>
      </c>
    </row>
    <row r="1854" spans="1:4" x14ac:dyDescent="0.2">
      <c r="A1854" s="728">
        <v>44946</v>
      </c>
      <c r="B1854" s="331">
        <f t="shared" si="28"/>
        <v>315066.78000000003</v>
      </c>
      <c r="C1854" s="331">
        <v>314866.78000000003</v>
      </c>
      <c r="D1854" s="479">
        <v>200</v>
      </c>
    </row>
    <row r="1855" spans="1:4" x14ac:dyDescent="0.2">
      <c r="A1855" s="728">
        <v>44949</v>
      </c>
      <c r="B1855" s="331">
        <f t="shared" si="28"/>
        <v>314907.93</v>
      </c>
      <c r="C1855" s="331">
        <v>314707.93</v>
      </c>
      <c r="D1855" s="479">
        <v>200</v>
      </c>
    </row>
    <row r="1856" spans="1:4" x14ac:dyDescent="0.2">
      <c r="A1856" s="728">
        <v>44950</v>
      </c>
      <c r="B1856" s="331">
        <f t="shared" si="28"/>
        <v>314907.93</v>
      </c>
      <c r="C1856" s="331">
        <f t="shared" si="29"/>
        <v>314707.93</v>
      </c>
      <c r="D1856" s="479">
        <v>200</v>
      </c>
    </row>
    <row r="1857" spans="1:4" x14ac:dyDescent="0.2">
      <c r="A1857" s="728">
        <v>44951</v>
      </c>
      <c r="B1857" s="331">
        <f t="shared" si="28"/>
        <v>314907.93</v>
      </c>
      <c r="C1857" s="331">
        <f t="shared" si="29"/>
        <v>314707.93</v>
      </c>
      <c r="D1857" s="479">
        <v>200</v>
      </c>
    </row>
    <row r="1858" spans="1:4" x14ac:dyDescent="0.2">
      <c r="A1858" s="728">
        <v>44952</v>
      </c>
      <c r="B1858" s="331">
        <f t="shared" si="28"/>
        <v>315650.68</v>
      </c>
      <c r="C1858" s="331">
        <v>315450.68</v>
      </c>
      <c r="D1858" s="479">
        <v>200</v>
      </c>
    </row>
    <row r="1859" spans="1:4" x14ac:dyDescent="0.2">
      <c r="A1859" s="728">
        <v>44953</v>
      </c>
      <c r="B1859" s="331">
        <f t="shared" si="28"/>
        <v>291355.65000000002</v>
      </c>
      <c r="C1859" s="331">
        <v>291155.65000000002</v>
      </c>
      <c r="D1859" s="479">
        <v>200</v>
      </c>
    </row>
    <row r="1860" spans="1:4" x14ac:dyDescent="0.2">
      <c r="A1860" s="728">
        <v>44956</v>
      </c>
      <c r="B1860" s="331">
        <f t="shared" si="28"/>
        <v>270294.52</v>
      </c>
      <c r="C1860" s="331">
        <v>270094.52</v>
      </c>
      <c r="D1860" s="479">
        <v>200</v>
      </c>
    </row>
    <row r="1861" spans="1:4" x14ac:dyDescent="0.2">
      <c r="A1861" s="728">
        <v>44957</v>
      </c>
      <c r="B1861" s="331">
        <f t="shared" si="28"/>
        <v>269684.28999999998</v>
      </c>
      <c r="C1861" s="331">
        <v>269484.28999999998</v>
      </c>
      <c r="D1861" s="479">
        <v>200</v>
      </c>
    </row>
    <row r="1862" spans="1:4" x14ac:dyDescent="0.2">
      <c r="A1862" s="728">
        <v>44958</v>
      </c>
      <c r="B1862" s="331">
        <f t="shared" si="28"/>
        <v>269684.28999999998</v>
      </c>
      <c r="C1862" s="331">
        <f t="shared" si="29"/>
        <v>269484.28999999998</v>
      </c>
      <c r="D1862" s="479">
        <v>200</v>
      </c>
    </row>
    <row r="1863" spans="1:4" x14ac:dyDescent="0.2">
      <c r="A1863" s="728">
        <v>44959</v>
      </c>
      <c r="B1863" s="364">
        <f t="shared" si="28"/>
        <v>259972.42</v>
      </c>
      <c r="C1863" s="331">
        <v>259772.42</v>
      </c>
      <c r="D1863" s="479">
        <v>200</v>
      </c>
    </row>
    <row r="1864" spans="1:4" x14ac:dyDescent="0.2">
      <c r="A1864" s="728">
        <v>44960</v>
      </c>
      <c r="B1864" s="331">
        <f t="shared" si="28"/>
        <v>282694.13</v>
      </c>
      <c r="C1864" s="331">
        <v>282494.13</v>
      </c>
      <c r="D1864" s="479">
        <v>200</v>
      </c>
    </row>
    <row r="1865" spans="1:4" x14ac:dyDescent="0.2">
      <c r="A1865" s="728">
        <v>44963</v>
      </c>
      <c r="B1865" s="331">
        <f t="shared" si="28"/>
        <v>282636.44</v>
      </c>
      <c r="C1865" s="331">
        <v>282436.44</v>
      </c>
      <c r="D1865" s="479">
        <v>200</v>
      </c>
    </row>
    <row r="1866" spans="1:4" x14ac:dyDescent="0.2">
      <c r="A1866" s="728">
        <v>44964</v>
      </c>
      <c r="B1866" s="331">
        <f t="shared" ref="B1866:B1924" si="30">C1866+D1866</f>
        <v>298296.44</v>
      </c>
      <c r="C1866" s="331">
        <v>298096.44</v>
      </c>
      <c r="D1866" s="479">
        <v>200</v>
      </c>
    </row>
    <row r="1867" spans="1:4" x14ac:dyDescent="0.2">
      <c r="A1867" s="728">
        <v>44965</v>
      </c>
      <c r="B1867" s="331">
        <f t="shared" si="30"/>
        <v>298259.44</v>
      </c>
      <c r="C1867" s="331">
        <v>298059.44</v>
      </c>
      <c r="D1867" s="479">
        <v>200</v>
      </c>
    </row>
    <row r="1868" spans="1:4" x14ac:dyDescent="0.2">
      <c r="A1868" s="728">
        <v>44966</v>
      </c>
      <c r="B1868" s="331">
        <f t="shared" si="30"/>
        <v>286670.99</v>
      </c>
      <c r="C1868" s="331">
        <v>286470.99</v>
      </c>
      <c r="D1868" s="479">
        <v>200</v>
      </c>
    </row>
    <row r="1869" spans="1:4" x14ac:dyDescent="0.2">
      <c r="A1869" s="728">
        <v>44967</v>
      </c>
      <c r="B1869" s="331">
        <f t="shared" si="30"/>
        <v>329121.65000000002</v>
      </c>
      <c r="C1869" s="331">
        <v>328921.65000000002</v>
      </c>
      <c r="D1869" s="479">
        <v>200</v>
      </c>
    </row>
    <row r="1870" spans="1:4" x14ac:dyDescent="0.2">
      <c r="A1870" s="728">
        <v>44970</v>
      </c>
      <c r="B1870" s="331">
        <f t="shared" si="30"/>
        <v>287265.95</v>
      </c>
      <c r="C1870" s="331">
        <v>287065.95</v>
      </c>
      <c r="D1870" s="479">
        <v>200</v>
      </c>
    </row>
    <row r="1871" spans="1:4" x14ac:dyDescent="0.2">
      <c r="A1871" s="728">
        <v>44971</v>
      </c>
      <c r="B1871" s="331">
        <f t="shared" si="30"/>
        <v>291765.95</v>
      </c>
      <c r="C1871" s="331">
        <v>291565.95</v>
      </c>
      <c r="D1871" s="479">
        <v>200</v>
      </c>
    </row>
    <row r="1872" spans="1:4" x14ac:dyDescent="0.2">
      <c r="A1872" s="728">
        <v>44972</v>
      </c>
      <c r="B1872" s="331">
        <f t="shared" si="30"/>
        <v>291800.28000000003</v>
      </c>
      <c r="C1872" s="331">
        <v>291600.28000000003</v>
      </c>
      <c r="D1872" s="479">
        <v>200</v>
      </c>
    </row>
    <row r="1873" spans="1:4" x14ac:dyDescent="0.2">
      <c r="A1873" s="728">
        <v>44973</v>
      </c>
      <c r="B1873" s="331">
        <f t="shared" si="30"/>
        <v>298342.23</v>
      </c>
      <c r="C1873" s="331">
        <v>298142.23</v>
      </c>
      <c r="D1873" s="479">
        <v>200</v>
      </c>
    </row>
    <row r="1874" spans="1:4" x14ac:dyDescent="0.2">
      <c r="A1874" s="728">
        <v>44974</v>
      </c>
      <c r="B1874" s="331">
        <f t="shared" si="30"/>
        <v>292633.62</v>
      </c>
      <c r="C1874" s="331">
        <v>292433.62</v>
      </c>
      <c r="D1874" s="479">
        <v>200</v>
      </c>
    </row>
    <row r="1875" spans="1:4" x14ac:dyDescent="0.2">
      <c r="A1875" s="728">
        <v>44977</v>
      </c>
      <c r="B1875" s="331">
        <f t="shared" si="30"/>
        <v>292633.62</v>
      </c>
      <c r="C1875" s="331">
        <f t="shared" si="29"/>
        <v>292433.62</v>
      </c>
      <c r="D1875" s="479">
        <v>200</v>
      </c>
    </row>
    <row r="1876" spans="1:4" x14ac:dyDescent="0.2">
      <c r="A1876" s="728">
        <v>44978</v>
      </c>
      <c r="B1876" s="331">
        <f t="shared" si="30"/>
        <v>320810.26</v>
      </c>
      <c r="C1876" s="331">
        <v>320610.26</v>
      </c>
      <c r="D1876" s="479">
        <v>200</v>
      </c>
    </row>
    <row r="1877" spans="1:4" x14ac:dyDescent="0.2">
      <c r="A1877" s="728">
        <v>44979</v>
      </c>
      <c r="B1877" s="331">
        <f t="shared" si="30"/>
        <v>320810.26</v>
      </c>
      <c r="C1877" s="331">
        <f t="shared" si="29"/>
        <v>320610.26</v>
      </c>
      <c r="D1877" s="479">
        <v>200</v>
      </c>
    </row>
    <row r="1878" spans="1:4" x14ac:dyDescent="0.2">
      <c r="A1878" s="728">
        <v>44980</v>
      </c>
      <c r="B1878" s="331">
        <f t="shared" si="30"/>
        <v>341705.89</v>
      </c>
      <c r="C1878" s="331">
        <v>341505.89</v>
      </c>
      <c r="D1878" s="479">
        <v>200</v>
      </c>
    </row>
    <row r="1879" spans="1:4" x14ac:dyDescent="0.2">
      <c r="A1879" s="728">
        <v>44981</v>
      </c>
      <c r="B1879" s="331">
        <f t="shared" si="30"/>
        <v>341754.4</v>
      </c>
      <c r="C1879" s="331">
        <v>341554.4</v>
      </c>
      <c r="D1879" s="479">
        <v>200</v>
      </c>
    </row>
    <row r="1880" spans="1:4" x14ac:dyDescent="0.2">
      <c r="A1880" s="728">
        <v>44984</v>
      </c>
      <c r="B1880" s="331">
        <f t="shared" si="30"/>
        <v>330670.37</v>
      </c>
      <c r="C1880" s="331">
        <v>330470.37</v>
      </c>
      <c r="D1880" s="479">
        <v>200</v>
      </c>
    </row>
    <row r="1881" spans="1:4" x14ac:dyDescent="0.2">
      <c r="A1881" s="728">
        <v>44985</v>
      </c>
      <c r="B1881" s="331">
        <f t="shared" si="30"/>
        <v>338045.7</v>
      </c>
      <c r="C1881" s="331">
        <v>337845.7</v>
      </c>
      <c r="D1881" s="479">
        <v>200</v>
      </c>
    </row>
    <row r="1882" spans="1:4" x14ac:dyDescent="0.2">
      <c r="A1882" s="728">
        <v>44986</v>
      </c>
      <c r="B1882" s="331">
        <f t="shared" si="30"/>
        <v>338604.7</v>
      </c>
      <c r="C1882" s="331">
        <v>338404.7</v>
      </c>
      <c r="D1882" s="479">
        <v>200</v>
      </c>
    </row>
    <row r="1883" spans="1:4" x14ac:dyDescent="0.2">
      <c r="A1883" s="728">
        <v>44987</v>
      </c>
      <c r="B1883" s="331">
        <f t="shared" si="30"/>
        <v>329491.15000000002</v>
      </c>
      <c r="C1883" s="331">
        <v>329291.15000000002</v>
      </c>
      <c r="D1883" s="479">
        <v>200</v>
      </c>
    </row>
    <row r="1884" spans="1:4" x14ac:dyDescent="0.2">
      <c r="A1884" s="728">
        <v>44988</v>
      </c>
      <c r="B1884" s="331">
        <f t="shared" si="30"/>
        <v>329106.55</v>
      </c>
      <c r="C1884" s="331">
        <v>328906.55</v>
      </c>
      <c r="D1884" s="479">
        <v>200</v>
      </c>
    </row>
    <row r="1885" spans="1:4" x14ac:dyDescent="0.2">
      <c r="A1885" s="728">
        <v>44991</v>
      </c>
      <c r="B1885" s="331">
        <f t="shared" si="30"/>
        <v>329106.55</v>
      </c>
      <c r="C1885" s="331">
        <f t="shared" ref="C1885:C1947" si="31">C1884</f>
        <v>328906.55</v>
      </c>
      <c r="D1885" s="479">
        <v>200</v>
      </c>
    </row>
    <row r="1886" spans="1:4" x14ac:dyDescent="0.2">
      <c r="A1886" s="728">
        <v>44992</v>
      </c>
      <c r="B1886" s="331">
        <f t="shared" si="30"/>
        <v>366692.56</v>
      </c>
      <c r="C1886" s="331">
        <v>366492.56</v>
      </c>
      <c r="D1886" s="479">
        <v>200</v>
      </c>
    </row>
    <row r="1887" spans="1:4" x14ac:dyDescent="0.2">
      <c r="A1887" s="728">
        <v>44993</v>
      </c>
      <c r="B1887" s="331">
        <f t="shared" si="30"/>
        <v>368956.85</v>
      </c>
      <c r="C1887" s="331">
        <v>368756.85</v>
      </c>
      <c r="D1887" s="479">
        <v>200</v>
      </c>
    </row>
    <row r="1888" spans="1:4" x14ac:dyDescent="0.2">
      <c r="A1888" s="728">
        <v>44994</v>
      </c>
      <c r="B1888" s="331">
        <f t="shared" si="30"/>
        <v>390880.67</v>
      </c>
      <c r="C1888" s="331">
        <v>390680.67</v>
      </c>
      <c r="D1888" s="479">
        <v>200</v>
      </c>
    </row>
    <row r="1889" spans="1:4" x14ac:dyDescent="0.2">
      <c r="A1889" s="728">
        <v>44995</v>
      </c>
      <c r="B1889" s="331">
        <f t="shared" si="30"/>
        <v>414120.74</v>
      </c>
      <c r="C1889" s="331">
        <v>413920.74</v>
      </c>
      <c r="D1889" s="479">
        <v>200</v>
      </c>
    </row>
    <row r="1890" spans="1:4" x14ac:dyDescent="0.2">
      <c r="A1890" s="728">
        <v>44998</v>
      </c>
      <c r="B1890" s="331">
        <f t="shared" si="30"/>
        <v>424130.52</v>
      </c>
      <c r="C1890" s="331">
        <v>423930.52</v>
      </c>
      <c r="D1890" s="479">
        <v>200</v>
      </c>
    </row>
    <row r="1891" spans="1:4" x14ac:dyDescent="0.2">
      <c r="A1891" s="728">
        <v>44999</v>
      </c>
      <c r="B1891" s="331">
        <f t="shared" si="30"/>
        <v>424130.52</v>
      </c>
      <c r="C1891" s="331">
        <f t="shared" si="31"/>
        <v>423930.52</v>
      </c>
      <c r="D1891" s="479">
        <v>200</v>
      </c>
    </row>
    <row r="1892" spans="1:4" x14ac:dyDescent="0.2">
      <c r="A1892" s="728">
        <v>45000</v>
      </c>
      <c r="B1892" s="331">
        <f t="shared" si="30"/>
        <v>424163.34</v>
      </c>
      <c r="C1892" s="331">
        <v>423963.34</v>
      </c>
      <c r="D1892" s="479">
        <v>200</v>
      </c>
    </row>
    <row r="1893" spans="1:4" x14ac:dyDescent="0.2">
      <c r="A1893" s="728">
        <v>45001</v>
      </c>
      <c r="B1893" s="331">
        <f t="shared" si="30"/>
        <v>422350.37</v>
      </c>
      <c r="C1893" s="331">
        <v>422150.37</v>
      </c>
      <c r="D1893" s="479">
        <v>200</v>
      </c>
    </row>
    <row r="1894" spans="1:4" x14ac:dyDescent="0.2">
      <c r="A1894" s="728">
        <v>45002</v>
      </c>
      <c r="B1894" s="331">
        <f t="shared" si="30"/>
        <v>421965.77</v>
      </c>
      <c r="C1894" s="331">
        <v>421765.77</v>
      </c>
      <c r="D1894" s="479">
        <v>200</v>
      </c>
    </row>
    <row r="1895" spans="1:4" x14ac:dyDescent="0.2">
      <c r="A1895" s="728">
        <v>45005</v>
      </c>
      <c r="B1895" s="331">
        <f t="shared" si="30"/>
        <v>419047.88</v>
      </c>
      <c r="C1895" s="331">
        <v>418847.88</v>
      </c>
      <c r="D1895" s="479">
        <v>200</v>
      </c>
    </row>
    <row r="1896" spans="1:4" x14ac:dyDescent="0.2">
      <c r="A1896" s="728">
        <v>45006</v>
      </c>
      <c r="B1896" s="331">
        <f t="shared" si="30"/>
        <v>425165.2</v>
      </c>
      <c r="C1896" s="331">
        <v>424965.2</v>
      </c>
      <c r="D1896" s="479">
        <v>200</v>
      </c>
    </row>
    <row r="1897" spans="1:4" x14ac:dyDescent="0.2">
      <c r="A1897" s="728">
        <v>45007</v>
      </c>
      <c r="B1897" s="331">
        <f t="shared" si="30"/>
        <v>415468.61</v>
      </c>
      <c r="C1897" s="331">
        <v>415268.61</v>
      </c>
      <c r="D1897" s="479">
        <v>200</v>
      </c>
    </row>
    <row r="1898" spans="1:4" x14ac:dyDescent="0.2">
      <c r="A1898" s="728">
        <v>45008</v>
      </c>
      <c r="B1898" s="331">
        <f t="shared" si="30"/>
        <v>444345.89</v>
      </c>
      <c r="C1898" s="331">
        <v>444145.89</v>
      </c>
      <c r="D1898" s="479">
        <v>200</v>
      </c>
    </row>
    <row r="1899" spans="1:4" x14ac:dyDescent="0.2">
      <c r="A1899" s="728">
        <v>45009</v>
      </c>
      <c r="B1899" s="331">
        <f t="shared" si="30"/>
        <v>444345.89</v>
      </c>
      <c r="C1899" s="331">
        <f t="shared" si="31"/>
        <v>444145.89</v>
      </c>
      <c r="D1899" s="479">
        <v>200</v>
      </c>
    </row>
    <row r="1900" spans="1:4" x14ac:dyDescent="0.2">
      <c r="A1900" s="728">
        <v>45012</v>
      </c>
      <c r="B1900" s="364">
        <f t="shared" si="30"/>
        <v>472758.17</v>
      </c>
      <c r="C1900" s="331">
        <v>472558.17</v>
      </c>
      <c r="D1900" s="479">
        <v>200</v>
      </c>
    </row>
    <row r="1901" spans="1:4" x14ac:dyDescent="0.2">
      <c r="A1901" s="728">
        <v>45013</v>
      </c>
      <c r="B1901" s="331">
        <f t="shared" si="30"/>
        <v>431931.97</v>
      </c>
      <c r="C1901" s="331">
        <v>431731.97</v>
      </c>
      <c r="D1901" s="479">
        <v>200</v>
      </c>
    </row>
    <row r="1902" spans="1:4" x14ac:dyDescent="0.2">
      <c r="A1902" s="728">
        <v>45014</v>
      </c>
      <c r="B1902" s="331">
        <f t="shared" si="30"/>
        <v>435079.42</v>
      </c>
      <c r="C1902" s="331">
        <v>434879.42</v>
      </c>
      <c r="D1902" s="479">
        <v>200</v>
      </c>
    </row>
    <row r="1903" spans="1:4" x14ac:dyDescent="0.2">
      <c r="A1903" s="728">
        <v>45015</v>
      </c>
      <c r="B1903" s="331">
        <f t="shared" si="30"/>
        <v>424040.9</v>
      </c>
      <c r="C1903" s="331">
        <v>423840.9</v>
      </c>
      <c r="D1903" s="479">
        <v>200</v>
      </c>
    </row>
    <row r="1904" spans="1:4" x14ac:dyDescent="0.2">
      <c r="A1904" s="728">
        <v>45016</v>
      </c>
      <c r="B1904" s="331">
        <f t="shared" si="30"/>
        <v>449683.31</v>
      </c>
      <c r="C1904" s="331">
        <v>449483.31</v>
      </c>
      <c r="D1904" s="479">
        <v>200</v>
      </c>
    </row>
    <row r="1905" spans="1:4" x14ac:dyDescent="0.2">
      <c r="A1905" s="728">
        <v>45019</v>
      </c>
      <c r="B1905" s="331">
        <f t="shared" si="30"/>
        <v>449683.31</v>
      </c>
      <c r="C1905" s="331">
        <f t="shared" si="31"/>
        <v>449483.31</v>
      </c>
      <c r="D1905" s="479">
        <v>200</v>
      </c>
    </row>
    <row r="1906" spans="1:4" x14ac:dyDescent="0.2">
      <c r="A1906" s="728">
        <v>45020</v>
      </c>
      <c r="B1906" s="331">
        <f t="shared" si="30"/>
        <v>449683.31</v>
      </c>
      <c r="C1906" s="331">
        <f t="shared" si="31"/>
        <v>449483.31</v>
      </c>
      <c r="D1906" s="479">
        <v>200</v>
      </c>
    </row>
    <row r="1907" spans="1:4" x14ac:dyDescent="0.2">
      <c r="A1907" s="728">
        <v>45021</v>
      </c>
      <c r="B1907" s="331">
        <f t="shared" si="30"/>
        <v>449683.31</v>
      </c>
      <c r="C1907" s="331">
        <f t="shared" si="31"/>
        <v>449483.31</v>
      </c>
      <c r="D1907" s="479">
        <v>200</v>
      </c>
    </row>
    <row r="1908" spans="1:4" x14ac:dyDescent="0.2">
      <c r="A1908" s="728">
        <v>45022</v>
      </c>
      <c r="B1908" s="331">
        <f t="shared" si="30"/>
        <v>425038.75</v>
      </c>
      <c r="C1908" s="331">
        <v>424838.75</v>
      </c>
      <c r="D1908" s="479">
        <v>200</v>
      </c>
    </row>
    <row r="1909" spans="1:4" x14ac:dyDescent="0.2">
      <c r="A1909" s="728">
        <v>45023</v>
      </c>
      <c r="B1909" s="331">
        <f t="shared" si="30"/>
        <v>425038.75</v>
      </c>
      <c r="C1909" s="331">
        <f t="shared" si="31"/>
        <v>424838.75</v>
      </c>
      <c r="D1909" s="479">
        <v>200</v>
      </c>
    </row>
    <row r="1910" spans="1:4" x14ac:dyDescent="0.2">
      <c r="A1910" s="728">
        <v>45026</v>
      </c>
      <c r="B1910" s="331">
        <f t="shared" si="30"/>
        <v>381899.02</v>
      </c>
      <c r="C1910" s="331">
        <v>381699.02</v>
      </c>
      <c r="D1910" s="479">
        <v>200</v>
      </c>
    </row>
    <row r="1911" spans="1:4" x14ac:dyDescent="0.2">
      <c r="A1911" s="728">
        <v>45027</v>
      </c>
      <c r="B1911" s="331">
        <f t="shared" si="30"/>
        <v>403291.29</v>
      </c>
      <c r="C1911" s="331">
        <v>403091.29</v>
      </c>
      <c r="D1911" s="479">
        <v>200</v>
      </c>
    </row>
    <row r="1912" spans="1:4" x14ac:dyDescent="0.2">
      <c r="A1912" s="728">
        <v>45028</v>
      </c>
      <c r="B1912" s="331">
        <f t="shared" si="30"/>
        <v>398523.39</v>
      </c>
      <c r="C1912" s="331">
        <v>398323.39</v>
      </c>
      <c r="D1912" s="479">
        <v>200</v>
      </c>
    </row>
    <row r="1913" spans="1:4" x14ac:dyDescent="0.2">
      <c r="A1913" s="728">
        <v>45029</v>
      </c>
      <c r="B1913" s="331">
        <f t="shared" si="30"/>
        <v>405256.29</v>
      </c>
      <c r="C1913" s="331">
        <v>405056.29</v>
      </c>
      <c r="D1913" s="479">
        <v>200</v>
      </c>
    </row>
    <row r="1914" spans="1:4" x14ac:dyDescent="0.2">
      <c r="A1914" s="728">
        <v>45030</v>
      </c>
      <c r="B1914" s="331">
        <f t="shared" si="30"/>
        <v>404915.18</v>
      </c>
      <c r="C1914" s="331">
        <v>404715.18</v>
      </c>
      <c r="D1914" s="479">
        <v>200</v>
      </c>
    </row>
    <row r="1915" spans="1:4" x14ac:dyDescent="0.2">
      <c r="A1915" s="728">
        <v>45033</v>
      </c>
      <c r="B1915" s="331">
        <f t="shared" si="30"/>
        <v>403828.39</v>
      </c>
      <c r="C1915" s="331">
        <v>403628.39</v>
      </c>
      <c r="D1915" s="479">
        <v>200</v>
      </c>
    </row>
    <row r="1916" spans="1:4" x14ac:dyDescent="0.2">
      <c r="A1916" s="728">
        <v>45034</v>
      </c>
      <c r="B1916" s="331">
        <f t="shared" si="30"/>
        <v>403828.39</v>
      </c>
      <c r="C1916" s="331">
        <f t="shared" si="31"/>
        <v>403628.39</v>
      </c>
      <c r="D1916" s="479">
        <v>200</v>
      </c>
    </row>
    <row r="1917" spans="1:4" x14ac:dyDescent="0.2">
      <c r="A1917" s="728">
        <v>45035</v>
      </c>
      <c r="B1917" s="331">
        <f t="shared" si="30"/>
        <v>434721.04</v>
      </c>
      <c r="C1917" s="331">
        <v>434521.04</v>
      </c>
      <c r="D1917" s="479">
        <v>200</v>
      </c>
    </row>
    <row r="1918" spans="1:4" x14ac:dyDescent="0.2">
      <c r="A1918" s="728">
        <v>45036</v>
      </c>
      <c r="B1918" s="331">
        <f t="shared" si="30"/>
        <v>421127.98</v>
      </c>
      <c r="C1918" s="331">
        <v>420927.98</v>
      </c>
      <c r="D1918" s="479">
        <v>200</v>
      </c>
    </row>
    <row r="1919" spans="1:4" x14ac:dyDescent="0.2">
      <c r="A1919" s="728">
        <v>45037</v>
      </c>
      <c r="B1919" s="331">
        <f t="shared" si="30"/>
        <v>420969.13</v>
      </c>
      <c r="C1919" s="331">
        <v>420769.13</v>
      </c>
      <c r="D1919" s="479">
        <v>200</v>
      </c>
    </row>
    <row r="1920" spans="1:4" x14ac:dyDescent="0.2">
      <c r="A1920" s="728">
        <v>45040</v>
      </c>
      <c r="B1920" s="331">
        <f t="shared" si="30"/>
        <v>420969.13</v>
      </c>
      <c r="C1920" s="331">
        <f t="shared" si="31"/>
        <v>420769.13</v>
      </c>
      <c r="D1920" s="479">
        <v>200</v>
      </c>
    </row>
    <row r="1921" spans="1:4" x14ac:dyDescent="0.2">
      <c r="A1921" s="728">
        <v>45041</v>
      </c>
      <c r="B1921" s="331">
        <f t="shared" si="30"/>
        <v>379345</v>
      </c>
      <c r="C1921" s="331">
        <v>379145</v>
      </c>
      <c r="D1921" s="479">
        <v>200</v>
      </c>
    </row>
    <row r="1922" spans="1:4" x14ac:dyDescent="0.2">
      <c r="A1922" s="728">
        <v>45042</v>
      </c>
      <c r="B1922" s="331">
        <f t="shared" si="30"/>
        <v>379345</v>
      </c>
      <c r="C1922" s="331">
        <f t="shared" si="31"/>
        <v>379145</v>
      </c>
      <c r="D1922" s="479">
        <v>200</v>
      </c>
    </row>
    <row r="1923" spans="1:4" x14ac:dyDescent="0.2">
      <c r="A1923" s="728">
        <v>45043</v>
      </c>
      <c r="B1923" s="331">
        <f t="shared" si="30"/>
        <v>379345</v>
      </c>
      <c r="C1923" s="331">
        <f t="shared" si="31"/>
        <v>379145</v>
      </c>
      <c r="D1923" s="479">
        <v>200</v>
      </c>
    </row>
    <row r="1924" spans="1:4" x14ac:dyDescent="0.2">
      <c r="A1924" s="728">
        <v>45044</v>
      </c>
      <c r="B1924" s="331">
        <f t="shared" si="30"/>
        <v>402733.09</v>
      </c>
      <c r="C1924" s="331">
        <v>402533.09</v>
      </c>
      <c r="D1924" s="479">
        <v>200</v>
      </c>
    </row>
    <row r="1925" spans="1:4" x14ac:dyDescent="0.2">
      <c r="A1925" s="728">
        <v>45047</v>
      </c>
      <c r="B1925" s="331">
        <f t="shared" ref="B1925:B1969" si="32">C1925+D1925</f>
        <v>403316.09</v>
      </c>
      <c r="C1925" s="331">
        <v>403116.09</v>
      </c>
      <c r="D1925" s="479">
        <v>200</v>
      </c>
    </row>
    <row r="1926" spans="1:4" x14ac:dyDescent="0.2">
      <c r="A1926" s="728">
        <v>45048</v>
      </c>
      <c r="B1926" s="331">
        <f t="shared" si="32"/>
        <v>403316.09</v>
      </c>
      <c r="C1926" s="331">
        <f t="shared" si="31"/>
        <v>403116.09</v>
      </c>
      <c r="D1926" s="479">
        <v>200</v>
      </c>
    </row>
    <row r="1927" spans="1:4" x14ac:dyDescent="0.2">
      <c r="A1927" s="728">
        <v>45049</v>
      </c>
      <c r="B1927" s="331">
        <f t="shared" si="32"/>
        <v>385876.12</v>
      </c>
      <c r="C1927" s="331">
        <v>385676.12</v>
      </c>
      <c r="D1927" s="479">
        <v>200</v>
      </c>
    </row>
    <row r="1928" spans="1:4" x14ac:dyDescent="0.2">
      <c r="A1928" s="728">
        <v>45050</v>
      </c>
      <c r="B1928" s="331">
        <f t="shared" si="32"/>
        <v>351812.45</v>
      </c>
      <c r="C1928" s="331">
        <v>351612.45</v>
      </c>
      <c r="D1928" s="479">
        <v>200</v>
      </c>
    </row>
    <row r="1929" spans="1:4" x14ac:dyDescent="0.2">
      <c r="A1929" s="728">
        <v>45051</v>
      </c>
      <c r="B1929" s="331">
        <f t="shared" si="32"/>
        <v>351812.45</v>
      </c>
      <c r="C1929" s="331">
        <f t="shared" si="31"/>
        <v>351612.45</v>
      </c>
      <c r="D1929" s="479">
        <v>200</v>
      </c>
    </row>
    <row r="1930" spans="1:4" x14ac:dyDescent="0.2">
      <c r="A1930" s="728">
        <v>45054</v>
      </c>
      <c r="B1930" s="331">
        <f t="shared" si="32"/>
        <v>368195.43</v>
      </c>
      <c r="C1930" s="331">
        <v>367995.43</v>
      </c>
      <c r="D1930" s="479">
        <v>200</v>
      </c>
    </row>
    <row r="1931" spans="1:4" x14ac:dyDescent="0.2">
      <c r="A1931" s="728">
        <v>45055</v>
      </c>
      <c r="B1931" s="331">
        <f t="shared" si="32"/>
        <v>368195.43</v>
      </c>
      <c r="C1931" s="331">
        <f t="shared" si="31"/>
        <v>367995.43</v>
      </c>
      <c r="D1931" s="479">
        <v>200</v>
      </c>
    </row>
    <row r="1932" spans="1:4" x14ac:dyDescent="0.2">
      <c r="A1932" s="728">
        <v>45056</v>
      </c>
      <c r="B1932" s="331">
        <f t="shared" si="32"/>
        <v>368195.43</v>
      </c>
      <c r="C1932" s="331">
        <f t="shared" si="31"/>
        <v>367995.43</v>
      </c>
      <c r="D1932" s="479">
        <v>200</v>
      </c>
    </row>
    <row r="1933" spans="1:4" x14ac:dyDescent="0.2">
      <c r="A1933" s="728">
        <v>45057</v>
      </c>
      <c r="B1933" s="331">
        <f t="shared" si="32"/>
        <v>368195.43</v>
      </c>
      <c r="C1933" s="331">
        <f t="shared" si="31"/>
        <v>367995.43</v>
      </c>
      <c r="D1933" s="479">
        <v>200</v>
      </c>
    </row>
    <row r="1934" spans="1:4" x14ac:dyDescent="0.2">
      <c r="A1934" s="728">
        <v>45058</v>
      </c>
      <c r="B1934" s="331">
        <f t="shared" si="32"/>
        <v>367810.83</v>
      </c>
      <c r="C1934" s="331">
        <v>367610.83</v>
      </c>
      <c r="D1934" s="479">
        <v>200</v>
      </c>
    </row>
    <row r="1935" spans="1:4" x14ac:dyDescent="0.2">
      <c r="A1935" s="728">
        <v>45061</v>
      </c>
      <c r="B1935" s="331">
        <f t="shared" si="32"/>
        <v>367851.39</v>
      </c>
      <c r="C1935" s="331">
        <v>367651.39</v>
      </c>
      <c r="D1935" s="479">
        <v>200</v>
      </c>
    </row>
    <row r="1936" spans="1:4" x14ac:dyDescent="0.2">
      <c r="A1936" s="728">
        <v>45062</v>
      </c>
      <c r="B1936" s="331">
        <f t="shared" si="32"/>
        <v>367851.39</v>
      </c>
      <c r="C1936" s="331">
        <f t="shared" si="31"/>
        <v>367651.39</v>
      </c>
      <c r="D1936" s="479">
        <v>200</v>
      </c>
    </row>
    <row r="1937" spans="1:4" x14ac:dyDescent="0.2">
      <c r="A1937" s="728">
        <v>45063</v>
      </c>
      <c r="B1937" s="331">
        <f t="shared" si="32"/>
        <v>367851.39</v>
      </c>
      <c r="C1937" s="331">
        <f t="shared" si="31"/>
        <v>367651.39</v>
      </c>
      <c r="D1937" s="479">
        <v>200</v>
      </c>
    </row>
    <row r="1938" spans="1:4" x14ac:dyDescent="0.2">
      <c r="A1938" s="728">
        <v>45064</v>
      </c>
      <c r="B1938" s="331">
        <f t="shared" si="32"/>
        <v>356642.57</v>
      </c>
      <c r="C1938" s="331">
        <v>356442.57</v>
      </c>
      <c r="D1938" s="479">
        <v>200</v>
      </c>
    </row>
    <row r="1939" spans="1:4" x14ac:dyDescent="0.2">
      <c r="A1939" s="728">
        <v>45065</v>
      </c>
      <c r="B1939" s="331">
        <f t="shared" si="32"/>
        <v>356642.57</v>
      </c>
      <c r="C1939" s="331">
        <f t="shared" si="31"/>
        <v>356442.57</v>
      </c>
      <c r="D1939" s="479">
        <v>200</v>
      </c>
    </row>
    <row r="1940" spans="1:4" x14ac:dyDescent="0.2">
      <c r="A1940" s="728">
        <v>45068</v>
      </c>
      <c r="B1940" s="331">
        <f t="shared" si="32"/>
        <v>308974.21000000002</v>
      </c>
      <c r="C1940" s="331">
        <v>308774.21000000002</v>
      </c>
      <c r="D1940" s="479">
        <v>200</v>
      </c>
    </row>
    <row r="1941" spans="1:4" x14ac:dyDescent="0.2">
      <c r="A1941" s="728">
        <v>45069</v>
      </c>
      <c r="B1941" s="331">
        <f t="shared" si="32"/>
        <v>338753.05</v>
      </c>
      <c r="C1941" s="331">
        <v>338553.05</v>
      </c>
      <c r="D1941" s="479">
        <v>200</v>
      </c>
    </row>
    <row r="1942" spans="1:4" x14ac:dyDescent="0.2">
      <c r="A1942" s="728">
        <v>45070</v>
      </c>
      <c r="B1942" s="331">
        <f t="shared" si="32"/>
        <v>391263.14</v>
      </c>
      <c r="C1942" s="331">
        <v>391063.14</v>
      </c>
      <c r="D1942" s="479">
        <v>200</v>
      </c>
    </row>
    <row r="1943" spans="1:4" x14ac:dyDescent="0.2">
      <c r="A1943" s="728">
        <v>45071</v>
      </c>
      <c r="B1943" s="331">
        <f t="shared" si="32"/>
        <v>391263.14</v>
      </c>
      <c r="C1943" s="331">
        <f t="shared" si="31"/>
        <v>391063.14</v>
      </c>
      <c r="D1943" s="479">
        <v>200</v>
      </c>
    </row>
    <row r="1944" spans="1:4" x14ac:dyDescent="0.2">
      <c r="A1944" s="728">
        <v>45072</v>
      </c>
      <c r="B1944" s="331">
        <f t="shared" si="32"/>
        <v>449119.47</v>
      </c>
      <c r="C1944" s="331">
        <v>448919.47</v>
      </c>
      <c r="D1944" s="479">
        <v>200</v>
      </c>
    </row>
    <row r="1945" spans="1:4" x14ac:dyDescent="0.2">
      <c r="A1945" s="728">
        <v>45075</v>
      </c>
      <c r="B1945" s="331">
        <f t="shared" si="32"/>
        <v>449119.47</v>
      </c>
      <c r="C1945" s="331">
        <f t="shared" si="31"/>
        <v>448919.47</v>
      </c>
      <c r="D1945" s="479">
        <v>200</v>
      </c>
    </row>
    <row r="1946" spans="1:4" x14ac:dyDescent="0.2">
      <c r="A1946" s="728">
        <v>45076</v>
      </c>
      <c r="B1946" s="331">
        <f t="shared" si="32"/>
        <v>448869.47</v>
      </c>
      <c r="C1946" s="331">
        <v>448669.47</v>
      </c>
      <c r="D1946" s="479">
        <v>200</v>
      </c>
    </row>
    <row r="1947" spans="1:4" x14ac:dyDescent="0.2">
      <c r="A1947" s="728">
        <v>45077</v>
      </c>
      <c r="B1947" s="331">
        <f t="shared" si="32"/>
        <v>448869.47</v>
      </c>
      <c r="C1947" s="331">
        <f t="shared" si="31"/>
        <v>448669.47</v>
      </c>
      <c r="D1947" s="479">
        <v>200</v>
      </c>
    </row>
    <row r="1948" spans="1:4" x14ac:dyDescent="0.2">
      <c r="A1948" s="728">
        <v>45078</v>
      </c>
      <c r="B1948" s="331">
        <f t="shared" si="32"/>
        <v>438853.17</v>
      </c>
      <c r="C1948" s="331">
        <v>438653.17</v>
      </c>
      <c r="D1948" s="479">
        <v>200</v>
      </c>
    </row>
    <row r="1949" spans="1:4" x14ac:dyDescent="0.2">
      <c r="A1949" s="728">
        <v>45079</v>
      </c>
      <c r="B1949" s="331">
        <f t="shared" si="32"/>
        <v>439117.17</v>
      </c>
      <c r="C1949" s="331">
        <v>438917.17</v>
      </c>
      <c r="D1949" s="479">
        <v>200</v>
      </c>
    </row>
    <row r="1950" spans="1:4" x14ac:dyDescent="0.2">
      <c r="A1950" s="728">
        <v>45082</v>
      </c>
      <c r="B1950" s="331">
        <f t="shared" si="32"/>
        <v>407163.47</v>
      </c>
      <c r="C1950" s="331">
        <v>406963.47</v>
      </c>
      <c r="D1950" s="479">
        <v>200</v>
      </c>
    </row>
    <row r="1951" spans="1:4" x14ac:dyDescent="0.2">
      <c r="A1951" s="728">
        <v>45083</v>
      </c>
      <c r="B1951" s="331">
        <f t="shared" si="32"/>
        <v>415855.1</v>
      </c>
      <c r="C1951" s="331">
        <v>415655.1</v>
      </c>
      <c r="D1951" s="479">
        <v>200</v>
      </c>
    </row>
    <row r="1952" spans="1:4" x14ac:dyDescent="0.2">
      <c r="A1952" s="728">
        <v>45084</v>
      </c>
      <c r="B1952" s="331">
        <f t="shared" si="32"/>
        <v>415855.1</v>
      </c>
      <c r="C1952" s="331">
        <f t="shared" ref="C1952:C1965" si="33">C1951</f>
        <v>415655.1</v>
      </c>
      <c r="D1952" s="479">
        <v>200</v>
      </c>
    </row>
    <row r="1953" spans="1:4" x14ac:dyDescent="0.2">
      <c r="A1953" s="728">
        <v>45085</v>
      </c>
      <c r="B1953" s="331">
        <f t="shared" si="32"/>
        <v>412361.18</v>
      </c>
      <c r="C1953" s="331">
        <v>412161.18</v>
      </c>
      <c r="D1953" s="479">
        <v>200</v>
      </c>
    </row>
    <row r="1954" spans="1:4" x14ac:dyDescent="0.2">
      <c r="A1954" s="728">
        <v>45086</v>
      </c>
      <c r="B1954" s="331">
        <f t="shared" si="32"/>
        <v>411976.58</v>
      </c>
      <c r="C1954" s="331">
        <v>411776.58</v>
      </c>
      <c r="D1954" s="479">
        <v>200</v>
      </c>
    </row>
    <row r="1955" spans="1:4" x14ac:dyDescent="0.2">
      <c r="A1955" s="728">
        <v>45089</v>
      </c>
      <c r="B1955" s="331">
        <f t="shared" si="32"/>
        <v>412491.58</v>
      </c>
      <c r="C1955" s="331">
        <v>412291.58</v>
      </c>
      <c r="D1955" s="479">
        <v>200</v>
      </c>
    </row>
    <row r="1956" spans="1:4" x14ac:dyDescent="0.2">
      <c r="A1956" s="728">
        <v>45090</v>
      </c>
      <c r="B1956" s="331">
        <f t="shared" si="32"/>
        <v>412491.58</v>
      </c>
      <c r="C1956" s="331">
        <f t="shared" si="33"/>
        <v>412291.58</v>
      </c>
      <c r="D1956" s="479">
        <v>200</v>
      </c>
    </row>
    <row r="1957" spans="1:4" x14ac:dyDescent="0.2">
      <c r="A1957" s="728">
        <v>45091</v>
      </c>
      <c r="B1957" s="331">
        <f t="shared" si="32"/>
        <v>412491.58</v>
      </c>
      <c r="C1957" s="331">
        <f t="shared" si="33"/>
        <v>412291.58</v>
      </c>
      <c r="D1957" s="479">
        <v>200</v>
      </c>
    </row>
    <row r="1958" spans="1:4" x14ac:dyDescent="0.2">
      <c r="A1958" s="728">
        <v>45092</v>
      </c>
      <c r="B1958" s="331">
        <f t="shared" si="32"/>
        <v>421884.75</v>
      </c>
      <c r="C1958" s="331">
        <v>421684.75</v>
      </c>
      <c r="D1958" s="479">
        <v>200</v>
      </c>
    </row>
    <row r="1959" spans="1:4" x14ac:dyDescent="0.2">
      <c r="A1959" s="728">
        <v>45093</v>
      </c>
      <c r="B1959" s="331">
        <f t="shared" si="32"/>
        <v>421884.75</v>
      </c>
      <c r="C1959" s="331">
        <f t="shared" si="33"/>
        <v>421684.75</v>
      </c>
      <c r="D1959" s="479">
        <v>200</v>
      </c>
    </row>
    <row r="1960" spans="1:4" x14ac:dyDescent="0.2">
      <c r="A1960" s="728">
        <v>45096</v>
      </c>
      <c r="B1960" s="331">
        <f t="shared" si="32"/>
        <v>422030.75</v>
      </c>
      <c r="C1960" s="331">
        <v>421830.75</v>
      </c>
      <c r="D1960" s="479">
        <v>200</v>
      </c>
    </row>
    <row r="1961" spans="1:4" x14ac:dyDescent="0.2">
      <c r="A1961" s="728">
        <v>45097</v>
      </c>
      <c r="B1961" s="331">
        <f t="shared" si="32"/>
        <v>384440.18</v>
      </c>
      <c r="C1961" s="331">
        <v>384240.18</v>
      </c>
      <c r="D1961" s="479">
        <v>200</v>
      </c>
    </row>
    <row r="1962" spans="1:4" x14ac:dyDescent="0.2">
      <c r="A1962" s="728">
        <v>45098</v>
      </c>
      <c r="B1962" s="331">
        <f t="shared" si="32"/>
        <v>383701.41</v>
      </c>
      <c r="C1962" s="331">
        <v>383501.41</v>
      </c>
      <c r="D1962" s="479">
        <v>200</v>
      </c>
    </row>
    <row r="1963" spans="1:4" x14ac:dyDescent="0.2">
      <c r="A1963" s="728">
        <v>45099</v>
      </c>
      <c r="B1963" s="331">
        <f t="shared" si="32"/>
        <v>384859.49</v>
      </c>
      <c r="C1963" s="331">
        <v>384659.49</v>
      </c>
      <c r="D1963" s="479">
        <v>200</v>
      </c>
    </row>
    <row r="1964" spans="1:4" x14ac:dyDescent="0.2">
      <c r="A1964" s="728">
        <v>45100</v>
      </c>
      <c r="B1964" s="331">
        <f t="shared" si="32"/>
        <v>412308.62</v>
      </c>
      <c r="C1964" s="331">
        <v>412108.62</v>
      </c>
      <c r="D1964" s="479">
        <v>200</v>
      </c>
    </row>
    <row r="1965" spans="1:4" x14ac:dyDescent="0.2">
      <c r="A1965" s="728">
        <v>45103</v>
      </c>
      <c r="B1965" s="331">
        <f t="shared" si="32"/>
        <v>412308.62</v>
      </c>
      <c r="C1965" s="331">
        <f t="shared" si="33"/>
        <v>412108.62</v>
      </c>
      <c r="D1965" s="479">
        <v>200</v>
      </c>
    </row>
    <row r="1966" spans="1:4" x14ac:dyDescent="0.2">
      <c r="A1966" s="728">
        <v>45104</v>
      </c>
      <c r="B1966" s="331">
        <f t="shared" si="32"/>
        <v>412282.92</v>
      </c>
      <c r="C1966" s="331">
        <v>412082.92</v>
      </c>
      <c r="D1966" s="479">
        <v>200</v>
      </c>
    </row>
    <row r="1967" spans="1:4" x14ac:dyDescent="0.2">
      <c r="A1967" s="728">
        <v>45105</v>
      </c>
      <c r="B1967" s="331">
        <f t="shared" si="32"/>
        <v>402422.58</v>
      </c>
      <c r="C1967" s="331">
        <v>402222.58</v>
      </c>
      <c r="D1967" s="479">
        <v>200</v>
      </c>
    </row>
    <row r="1968" spans="1:4" x14ac:dyDescent="0.2">
      <c r="A1968" s="728">
        <v>45106</v>
      </c>
      <c r="B1968" s="331">
        <f t="shared" si="32"/>
        <v>402266.7</v>
      </c>
      <c r="C1968" s="331">
        <v>402066.7</v>
      </c>
      <c r="D1968" s="479">
        <v>200</v>
      </c>
    </row>
    <row r="1969" spans="1:4" x14ac:dyDescent="0.2">
      <c r="A1969" s="728">
        <v>45107</v>
      </c>
      <c r="B1969" s="331">
        <f t="shared" si="32"/>
        <v>407981.99</v>
      </c>
      <c r="C1969" s="331">
        <v>407781.99</v>
      </c>
      <c r="D1969" s="479">
        <v>200</v>
      </c>
    </row>
    <row r="1970" spans="1:4" x14ac:dyDescent="0.2">
      <c r="A1970" s="728">
        <v>45110</v>
      </c>
      <c r="B1970" s="331">
        <f t="shared" ref="B1970:B2016" si="34">C1970+D1970</f>
        <v>373219.37</v>
      </c>
      <c r="C1970" s="331">
        <v>373019.37</v>
      </c>
      <c r="D1970" s="479">
        <v>200</v>
      </c>
    </row>
    <row r="1971" spans="1:4" x14ac:dyDescent="0.2">
      <c r="A1971" s="728">
        <v>45111</v>
      </c>
      <c r="B1971" s="331">
        <f t="shared" si="34"/>
        <v>373219.37</v>
      </c>
      <c r="C1971" s="331">
        <f>C1970</f>
        <v>373019.37</v>
      </c>
      <c r="D1971" s="479">
        <v>200</v>
      </c>
    </row>
    <row r="1972" spans="1:4" x14ac:dyDescent="0.2">
      <c r="A1972" s="728">
        <v>45112</v>
      </c>
      <c r="B1972" s="331">
        <f t="shared" si="34"/>
        <v>373219.37</v>
      </c>
      <c r="C1972" s="331">
        <f t="shared" ref="C1972:C2023" si="35">C1971</f>
        <v>373019.37</v>
      </c>
      <c r="D1972" s="479">
        <v>200</v>
      </c>
    </row>
    <row r="1973" spans="1:4" x14ac:dyDescent="0.2">
      <c r="A1973" s="728">
        <v>45113</v>
      </c>
      <c r="B1973" s="331">
        <f t="shared" si="34"/>
        <v>376696.27</v>
      </c>
      <c r="C1973" s="331">
        <v>376496.27</v>
      </c>
      <c r="D1973" s="479">
        <v>200</v>
      </c>
    </row>
    <row r="1974" spans="1:4" x14ac:dyDescent="0.2">
      <c r="A1974" s="728">
        <v>45114</v>
      </c>
      <c r="B1974" s="331">
        <f t="shared" si="34"/>
        <v>376906.67</v>
      </c>
      <c r="C1974" s="331">
        <v>376706.67</v>
      </c>
      <c r="D1974" s="479">
        <v>200</v>
      </c>
    </row>
    <row r="1975" spans="1:4" x14ac:dyDescent="0.2">
      <c r="A1975" s="728">
        <v>45117</v>
      </c>
      <c r="B1975" s="331">
        <f t="shared" si="34"/>
        <v>377111.67</v>
      </c>
      <c r="C1975" s="331">
        <v>376911.67</v>
      </c>
      <c r="D1975" s="479">
        <v>200</v>
      </c>
    </row>
    <row r="1976" spans="1:4" x14ac:dyDescent="0.2">
      <c r="A1976" s="728">
        <v>45118</v>
      </c>
      <c r="B1976" s="331">
        <f t="shared" si="34"/>
        <v>378617.91</v>
      </c>
      <c r="C1976" s="331">
        <v>378417.91</v>
      </c>
      <c r="D1976" s="479">
        <v>200</v>
      </c>
    </row>
    <row r="1977" spans="1:4" x14ac:dyDescent="0.2">
      <c r="A1977" s="728">
        <v>45119</v>
      </c>
      <c r="B1977" s="331">
        <f t="shared" si="34"/>
        <v>378999.91</v>
      </c>
      <c r="C1977" s="331">
        <v>378799.91</v>
      </c>
      <c r="D1977" s="479">
        <v>200</v>
      </c>
    </row>
    <row r="1978" spans="1:4" x14ac:dyDescent="0.2">
      <c r="A1978" s="728">
        <v>45120</v>
      </c>
      <c r="B1978" s="331">
        <f t="shared" si="34"/>
        <v>399013.52</v>
      </c>
      <c r="C1978" s="331">
        <v>398813.52</v>
      </c>
      <c r="D1978" s="479">
        <v>200</v>
      </c>
    </row>
    <row r="1979" spans="1:4" x14ac:dyDescent="0.2">
      <c r="A1979" s="728">
        <v>45121</v>
      </c>
      <c r="B1979" s="331">
        <f t="shared" si="34"/>
        <v>399052</v>
      </c>
      <c r="C1979" s="331">
        <v>398852</v>
      </c>
      <c r="D1979" s="479">
        <v>200</v>
      </c>
    </row>
    <row r="1980" spans="1:4" x14ac:dyDescent="0.2">
      <c r="A1980" s="728">
        <v>45124</v>
      </c>
      <c r="B1980" s="331">
        <f t="shared" si="34"/>
        <v>398802</v>
      </c>
      <c r="C1980" s="331">
        <v>398602</v>
      </c>
      <c r="D1980" s="479">
        <v>200</v>
      </c>
    </row>
    <row r="1981" spans="1:4" x14ac:dyDescent="0.2">
      <c r="A1981" s="728">
        <v>45125</v>
      </c>
      <c r="B1981" s="331">
        <f t="shared" si="34"/>
        <v>415884.95</v>
      </c>
      <c r="C1981" s="331">
        <v>415684.95</v>
      </c>
      <c r="D1981" s="479">
        <v>200</v>
      </c>
    </row>
    <row r="1982" spans="1:4" x14ac:dyDescent="0.2">
      <c r="A1982" s="728">
        <v>45126</v>
      </c>
      <c r="B1982" s="331">
        <f t="shared" si="34"/>
        <v>416084.95</v>
      </c>
      <c r="C1982" s="331">
        <v>415884.95</v>
      </c>
      <c r="D1982" s="479">
        <v>200</v>
      </c>
    </row>
    <row r="1983" spans="1:4" x14ac:dyDescent="0.2">
      <c r="A1983" s="728">
        <v>45127</v>
      </c>
      <c r="B1983" s="331">
        <f t="shared" si="34"/>
        <v>409180.98</v>
      </c>
      <c r="C1983" s="331">
        <v>408980.98</v>
      </c>
      <c r="D1983" s="479">
        <v>200</v>
      </c>
    </row>
    <row r="1984" spans="1:4" x14ac:dyDescent="0.2">
      <c r="A1984" s="728">
        <v>45128</v>
      </c>
      <c r="B1984" s="331">
        <f t="shared" si="34"/>
        <v>411006.01</v>
      </c>
      <c r="C1984" s="331">
        <v>410806.01</v>
      </c>
      <c r="D1984" s="479">
        <v>200</v>
      </c>
    </row>
    <row r="1985" spans="1:4" x14ac:dyDescent="0.2">
      <c r="A1985" s="728">
        <v>45131</v>
      </c>
      <c r="B1985" s="331">
        <f t="shared" si="34"/>
        <v>411445.54</v>
      </c>
      <c r="C1985" s="331">
        <v>411245.54</v>
      </c>
      <c r="D1985" s="479">
        <v>200</v>
      </c>
    </row>
    <row r="1986" spans="1:4" x14ac:dyDescent="0.2">
      <c r="A1986" s="728">
        <v>45132</v>
      </c>
      <c r="B1986" s="331">
        <f t="shared" si="34"/>
        <v>412425.15</v>
      </c>
      <c r="C1986" s="331">
        <v>412225.15</v>
      </c>
      <c r="D1986" s="479">
        <v>200</v>
      </c>
    </row>
    <row r="1987" spans="1:4" x14ac:dyDescent="0.2">
      <c r="A1987" s="728">
        <v>45133</v>
      </c>
      <c r="B1987" s="331">
        <f t="shared" si="34"/>
        <v>412425.15</v>
      </c>
      <c r="C1987" s="331">
        <f t="shared" si="35"/>
        <v>412225.15</v>
      </c>
      <c r="D1987" s="479">
        <v>200</v>
      </c>
    </row>
    <row r="1988" spans="1:4" x14ac:dyDescent="0.2">
      <c r="A1988" s="728">
        <v>45134</v>
      </c>
      <c r="B1988" s="331">
        <f t="shared" si="34"/>
        <v>387088.04</v>
      </c>
      <c r="C1988" s="331">
        <v>386888.04</v>
      </c>
      <c r="D1988" s="479">
        <v>200</v>
      </c>
    </row>
    <row r="1989" spans="1:4" x14ac:dyDescent="0.2">
      <c r="A1989" s="728">
        <v>45135</v>
      </c>
      <c r="B1989" s="331">
        <f t="shared" si="34"/>
        <v>405857.22</v>
      </c>
      <c r="C1989" s="331">
        <v>405657.22</v>
      </c>
      <c r="D1989" s="479">
        <v>200</v>
      </c>
    </row>
    <row r="1990" spans="1:4" x14ac:dyDescent="0.2">
      <c r="A1990" s="728">
        <v>45138</v>
      </c>
      <c r="B1990" s="331">
        <f t="shared" si="34"/>
        <v>404076.54</v>
      </c>
      <c r="C1990" s="331">
        <v>403876.54</v>
      </c>
      <c r="D1990" s="479">
        <v>200</v>
      </c>
    </row>
    <row r="1991" spans="1:4" x14ac:dyDescent="0.2">
      <c r="A1991" s="728">
        <v>45139</v>
      </c>
      <c r="B1991" s="331">
        <f t="shared" si="34"/>
        <v>390920.58</v>
      </c>
      <c r="C1991" s="331">
        <v>390720.58</v>
      </c>
      <c r="D1991" s="479">
        <v>200</v>
      </c>
    </row>
    <row r="1992" spans="1:4" x14ac:dyDescent="0.2">
      <c r="A1992" s="728">
        <v>45140</v>
      </c>
      <c r="B1992" s="331">
        <f t="shared" si="34"/>
        <v>390920.58</v>
      </c>
      <c r="C1992" s="331">
        <f t="shared" si="35"/>
        <v>390720.58</v>
      </c>
      <c r="D1992" s="479">
        <v>200</v>
      </c>
    </row>
    <row r="1993" spans="1:4" x14ac:dyDescent="0.2">
      <c r="A1993" s="728">
        <v>45141</v>
      </c>
      <c r="B1993" s="331">
        <f t="shared" si="34"/>
        <v>386738.53</v>
      </c>
      <c r="C1993" s="331">
        <v>386538.53</v>
      </c>
      <c r="D1993" s="479">
        <v>200</v>
      </c>
    </row>
    <row r="1994" spans="1:4" x14ac:dyDescent="0.2">
      <c r="A1994" s="728">
        <v>45142</v>
      </c>
      <c r="B1994" s="331">
        <f t="shared" si="34"/>
        <v>384493.66</v>
      </c>
      <c r="C1994" s="331">
        <v>384293.66</v>
      </c>
      <c r="D1994" s="479">
        <v>200</v>
      </c>
    </row>
    <row r="1995" spans="1:4" x14ac:dyDescent="0.2">
      <c r="A1995" s="728">
        <v>45145</v>
      </c>
      <c r="B1995" s="331">
        <f t="shared" si="34"/>
        <v>385493.66</v>
      </c>
      <c r="C1995" s="331">
        <v>385293.66</v>
      </c>
      <c r="D1995" s="479">
        <v>200</v>
      </c>
    </row>
    <row r="1996" spans="1:4" x14ac:dyDescent="0.2">
      <c r="A1996" s="728">
        <v>45146</v>
      </c>
      <c r="B1996" s="331">
        <f t="shared" si="34"/>
        <v>385493.66</v>
      </c>
      <c r="C1996" s="331">
        <f t="shared" si="35"/>
        <v>385293.66</v>
      </c>
      <c r="D1996" s="479">
        <v>200</v>
      </c>
    </row>
    <row r="1997" spans="1:4" x14ac:dyDescent="0.2">
      <c r="A1997" s="728">
        <v>45147</v>
      </c>
      <c r="B1997" s="331">
        <f t="shared" si="34"/>
        <v>385493.66</v>
      </c>
      <c r="C1997" s="331">
        <f t="shared" si="35"/>
        <v>385293.66</v>
      </c>
      <c r="D1997" s="479">
        <v>200</v>
      </c>
    </row>
    <row r="1998" spans="1:4" x14ac:dyDescent="0.2">
      <c r="A1998" s="728">
        <v>45148</v>
      </c>
      <c r="B1998" s="331">
        <f t="shared" si="34"/>
        <v>385493.66</v>
      </c>
      <c r="C1998" s="331">
        <f t="shared" si="35"/>
        <v>385293.66</v>
      </c>
      <c r="D1998" s="479">
        <v>200</v>
      </c>
    </row>
    <row r="1999" spans="1:4" x14ac:dyDescent="0.2">
      <c r="A1999" s="728">
        <v>45149</v>
      </c>
      <c r="B1999" s="331">
        <f t="shared" si="34"/>
        <v>386021.66</v>
      </c>
      <c r="C1999" s="331">
        <v>385821.66</v>
      </c>
      <c r="D1999" s="479">
        <v>200</v>
      </c>
    </row>
    <row r="2000" spans="1:4" x14ac:dyDescent="0.2">
      <c r="A2000" s="728">
        <v>45152</v>
      </c>
      <c r="B2000" s="331">
        <f t="shared" si="34"/>
        <v>406742.83</v>
      </c>
      <c r="C2000" s="331">
        <v>406542.83</v>
      </c>
      <c r="D2000" s="479">
        <v>200</v>
      </c>
    </row>
    <row r="2001" spans="1:4" x14ac:dyDescent="0.2">
      <c r="A2001" s="728">
        <v>45153</v>
      </c>
      <c r="B2001" s="331">
        <f t="shared" si="34"/>
        <v>370565.1</v>
      </c>
      <c r="C2001" s="331">
        <v>370365.1</v>
      </c>
      <c r="D2001" s="479">
        <v>200</v>
      </c>
    </row>
    <row r="2002" spans="1:4" x14ac:dyDescent="0.2">
      <c r="A2002" s="728">
        <v>45154</v>
      </c>
      <c r="B2002" s="331">
        <f t="shared" si="34"/>
        <v>370565.1</v>
      </c>
      <c r="C2002" s="331">
        <f t="shared" si="35"/>
        <v>370365.1</v>
      </c>
      <c r="D2002" s="479">
        <v>200</v>
      </c>
    </row>
    <row r="2003" spans="1:4" x14ac:dyDescent="0.2">
      <c r="A2003" s="728">
        <v>45155</v>
      </c>
      <c r="B2003" s="331">
        <f t="shared" si="34"/>
        <v>396789.54</v>
      </c>
      <c r="C2003" s="331">
        <v>396589.54</v>
      </c>
      <c r="D2003" s="479">
        <v>200</v>
      </c>
    </row>
    <row r="2004" spans="1:4" x14ac:dyDescent="0.2">
      <c r="A2004" s="728">
        <v>45156</v>
      </c>
      <c r="B2004" s="331">
        <f t="shared" si="34"/>
        <v>396404.94</v>
      </c>
      <c r="C2004" s="331">
        <v>396204.94</v>
      </c>
      <c r="D2004" s="479">
        <v>200</v>
      </c>
    </row>
    <row r="2005" spans="1:4" x14ac:dyDescent="0.2">
      <c r="A2005" s="728">
        <v>45159</v>
      </c>
      <c r="B2005" s="331">
        <f t="shared" si="34"/>
        <v>394335.05</v>
      </c>
      <c r="C2005" s="331">
        <v>394135.05</v>
      </c>
      <c r="D2005" s="479">
        <v>200</v>
      </c>
    </row>
    <row r="2006" spans="1:4" x14ac:dyDescent="0.2">
      <c r="A2006" s="728">
        <v>45160</v>
      </c>
      <c r="B2006" s="331">
        <f t="shared" si="34"/>
        <v>394335.05</v>
      </c>
      <c r="C2006" s="331">
        <f t="shared" si="35"/>
        <v>394135.05</v>
      </c>
      <c r="D2006" s="479">
        <v>200</v>
      </c>
    </row>
    <row r="2007" spans="1:4" x14ac:dyDescent="0.2">
      <c r="A2007" s="728">
        <v>45161</v>
      </c>
      <c r="B2007" s="331">
        <f t="shared" si="34"/>
        <v>394359.06</v>
      </c>
      <c r="C2007" s="331">
        <v>394159.06</v>
      </c>
      <c r="D2007" s="479">
        <v>200</v>
      </c>
    </row>
    <row r="2008" spans="1:4" x14ac:dyDescent="0.2">
      <c r="A2008" s="728">
        <v>45162</v>
      </c>
      <c r="B2008" s="331">
        <f t="shared" si="34"/>
        <v>388296.14</v>
      </c>
      <c r="C2008" s="331">
        <v>388096.14</v>
      </c>
      <c r="D2008" s="479">
        <v>200</v>
      </c>
    </row>
    <row r="2009" spans="1:4" x14ac:dyDescent="0.2">
      <c r="A2009" s="728">
        <v>45163</v>
      </c>
      <c r="B2009" s="331">
        <f t="shared" si="34"/>
        <v>388621.14</v>
      </c>
      <c r="C2009" s="331">
        <v>388421.14</v>
      </c>
      <c r="D2009" s="479">
        <v>200</v>
      </c>
    </row>
    <row r="2010" spans="1:4" x14ac:dyDescent="0.2">
      <c r="A2010" s="728">
        <v>45164</v>
      </c>
      <c r="B2010" s="331">
        <f t="shared" si="34"/>
        <v>388621.14</v>
      </c>
      <c r="C2010" s="331">
        <f t="shared" si="35"/>
        <v>388421.14</v>
      </c>
      <c r="D2010" s="479">
        <v>200</v>
      </c>
    </row>
    <row r="2011" spans="1:4" x14ac:dyDescent="0.2">
      <c r="A2011" s="728">
        <v>45165</v>
      </c>
      <c r="B2011" s="331">
        <f t="shared" si="34"/>
        <v>388621.14</v>
      </c>
      <c r="C2011" s="331">
        <f t="shared" si="35"/>
        <v>388421.14</v>
      </c>
      <c r="D2011" s="479">
        <v>200</v>
      </c>
    </row>
    <row r="2012" spans="1:4" x14ac:dyDescent="0.2">
      <c r="A2012" s="728">
        <v>45166</v>
      </c>
      <c r="B2012" s="331">
        <f t="shared" si="34"/>
        <v>350982.96</v>
      </c>
      <c r="C2012" s="331">
        <v>350782.96</v>
      </c>
      <c r="D2012" s="479">
        <v>200</v>
      </c>
    </row>
    <row r="2013" spans="1:4" x14ac:dyDescent="0.2">
      <c r="A2013" s="728">
        <v>45167</v>
      </c>
      <c r="B2013" s="331">
        <f t="shared" si="34"/>
        <v>451232.96</v>
      </c>
      <c r="C2013" s="331">
        <v>451032.96</v>
      </c>
      <c r="D2013" s="479">
        <v>200</v>
      </c>
    </row>
    <row r="2014" spans="1:4" x14ac:dyDescent="0.2">
      <c r="A2014" s="728">
        <v>45168</v>
      </c>
      <c r="B2014" s="331">
        <f t="shared" si="34"/>
        <v>499724.02</v>
      </c>
      <c r="C2014" s="331">
        <v>499524.02</v>
      </c>
      <c r="D2014" s="479">
        <v>200</v>
      </c>
    </row>
    <row r="2015" spans="1:4" x14ac:dyDescent="0.2">
      <c r="A2015" s="728">
        <v>45169</v>
      </c>
      <c r="B2015" s="331">
        <f t="shared" si="34"/>
        <v>519129.97</v>
      </c>
      <c r="C2015" s="331">
        <v>518929.97</v>
      </c>
      <c r="D2015" s="479">
        <v>200</v>
      </c>
    </row>
    <row r="2016" spans="1:4" x14ac:dyDescent="0.2">
      <c r="A2016" s="728">
        <v>45170</v>
      </c>
      <c r="B2016" s="331">
        <f t="shared" si="34"/>
        <v>494825.52</v>
      </c>
      <c r="C2016" s="331">
        <v>494625.52</v>
      </c>
      <c r="D2016" s="479">
        <v>200</v>
      </c>
    </row>
    <row r="2017" spans="1:4" x14ac:dyDescent="0.2">
      <c r="A2017" s="728">
        <v>45171</v>
      </c>
      <c r="B2017" s="331">
        <f t="shared" ref="B2017:B2023" si="36">C2017+D2017</f>
        <v>494825.52</v>
      </c>
      <c r="C2017" s="331">
        <f t="shared" si="35"/>
        <v>494625.52</v>
      </c>
      <c r="D2017" s="479">
        <v>200</v>
      </c>
    </row>
    <row r="2018" spans="1:4" x14ac:dyDescent="0.2">
      <c r="A2018" s="728">
        <v>45172</v>
      </c>
      <c r="B2018" s="331">
        <f t="shared" si="36"/>
        <v>494825.52</v>
      </c>
      <c r="C2018" s="331">
        <f t="shared" si="35"/>
        <v>494625.52</v>
      </c>
      <c r="D2018" s="479">
        <v>200</v>
      </c>
    </row>
    <row r="2019" spans="1:4" x14ac:dyDescent="0.2">
      <c r="A2019" s="728">
        <v>45173</v>
      </c>
      <c r="B2019" s="331">
        <f t="shared" si="36"/>
        <v>494825.52</v>
      </c>
      <c r="C2019" s="331">
        <f t="shared" si="35"/>
        <v>494625.52</v>
      </c>
      <c r="D2019" s="479">
        <v>200</v>
      </c>
    </row>
    <row r="2020" spans="1:4" x14ac:dyDescent="0.2">
      <c r="A2020" s="728">
        <v>45174</v>
      </c>
      <c r="B2020" s="331">
        <f t="shared" si="36"/>
        <v>494875.52</v>
      </c>
      <c r="C2020" s="331">
        <v>494675.52</v>
      </c>
      <c r="D2020" s="479">
        <v>200</v>
      </c>
    </row>
    <row r="2021" spans="1:4" x14ac:dyDescent="0.2">
      <c r="A2021" s="728">
        <v>45175</v>
      </c>
      <c r="B2021" s="331">
        <f t="shared" si="36"/>
        <v>492868.56</v>
      </c>
      <c r="C2021" s="331">
        <v>492668.56</v>
      </c>
      <c r="D2021" s="479">
        <v>200</v>
      </c>
    </row>
    <row r="2022" spans="1:4" x14ac:dyDescent="0.2">
      <c r="A2022" s="728">
        <v>45176</v>
      </c>
      <c r="B2022" s="331">
        <f t="shared" si="36"/>
        <v>492868.56</v>
      </c>
      <c r="C2022" s="331">
        <f t="shared" si="35"/>
        <v>492668.56</v>
      </c>
      <c r="D2022" s="479">
        <v>200</v>
      </c>
    </row>
    <row r="2023" spans="1:4" x14ac:dyDescent="0.2">
      <c r="A2023" s="728">
        <v>45177</v>
      </c>
      <c r="B2023" s="331">
        <f t="shared" si="36"/>
        <v>492868.56</v>
      </c>
      <c r="C2023" s="331">
        <f t="shared" si="35"/>
        <v>492668.56</v>
      </c>
      <c r="D2023" s="479">
        <v>200</v>
      </c>
    </row>
    <row r="2024" spans="1:4" x14ac:dyDescent="0.2">
      <c r="A2024" s="728">
        <v>45180</v>
      </c>
      <c r="B2024" s="331">
        <f t="shared" ref="B2024:B2060" si="37">C2024+D2024</f>
        <v>494218.56</v>
      </c>
      <c r="C2024" s="331">
        <v>494018.56</v>
      </c>
      <c r="D2024" s="479">
        <v>200</v>
      </c>
    </row>
    <row r="2025" spans="1:4" x14ac:dyDescent="0.2">
      <c r="A2025" s="728">
        <v>45181</v>
      </c>
      <c r="B2025" s="331">
        <f t="shared" si="37"/>
        <v>452326.96</v>
      </c>
      <c r="C2025" s="331">
        <v>452126.96</v>
      </c>
      <c r="D2025" s="479">
        <v>200</v>
      </c>
    </row>
    <row r="2026" spans="1:4" x14ac:dyDescent="0.2">
      <c r="A2026" s="728">
        <v>45182</v>
      </c>
      <c r="B2026" s="331">
        <f t="shared" si="37"/>
        <v>475248.53</v>
      </c>
      <c r="C2026" s="331">
        <v>475048.53</v>
      </c>
      <c r="D2026" s="479">
        <v>200</v>
      </c>
    </row>
    <row r="2027" spans="1:4" x14ac:dyDescent="0.2">
      <c r="A2027" s="728">
        <v>45183</v>
      </c>
      <c r="B2027" s="331">
        <f t="shared" si="37"/>
        <v>485579.7</v>
      </c>
      <c r="C2027" s="331">
        <v>485379.7</v>
      </c>
      <c r="D2027" s="479">
        <v>200</v>
      </c>
    </row>
    <row r="2028" spans="1:4" x14ac:dyDescent="0.2">
      <c r="A2028" s="728">
        <v>45184</v>
      </c>
      <c r="B2028" s="331">
        <f t="shared" si="37"/>
        <v>483237.86</v>
      </c>
      <c r="C2028" s="331">
        <v>483037.86</v>
      </c>
      <c r="D2028" s="479">
        <v>200</v>
      </c>
    </row>
    <row r="2029" spans="1:4" x14ac:dyDescent="0.2">
      <c r="A2029" s="728">
        <v>45187</v>
      </c>
      <c r="B2029" s="331">
        <f t="shared" si="37"/>
        <v>482174.8</v>
      </c>
      <c r="C2029" s="331">
        <v>481974.8</v>
      </c>
      <c r="D2029" s="479">
        <v>200</v>
      </c>
    </row>
    <row r="2030" spans="1:4" x14ac:dyDescent="0.2">
      <c r="A2030" s="728">
        <v>45188</v>
      </c>
      <c r="B2030" s="331">
        <f t="shared" si="37"/>
        <v>482199.8</v>
      </c>
      <c r="C2030" s="331">
        <v>481999.8</v>
      </c>
      <c r="D2030" s="479">
        <v>200</v>
      </c>
    </row>
    <row r="2031" spans="1:4" x14ac:dyDescent="0.2">
      <c r="A2031" s="728">
        <v>45189</v>
      </c>
      <c r="B2031" s="331">
        <f t="shared" si="37"/>
        <v>479406.91</v>
      </c>
      <c r="C2031" s="331">
        <v>479206.91</v>
      </c>
      <c r="D2031" s="479">
        <v>200</v>
      </c>
    </row>
    <row r="2032" spans="1:4" x14ac:dyDescent="0.2">
      <c r="A2032" s="728">
        <v>45190</v>
      </c>
      <c r="B2032" s="331">
        <f t="shared" si="37"/>
        <v>470500.67</v>
      </c>
      <c r="C2032" s="331">
        <v>470300.67</v>
      </c>
      <c r="D2032" s="479">
        <v>200</v>
      </c>
    </row>
    <row r="2033" spans="1:4" x14ac:dyDescent="0.2">
      <c r="A2033" s="728">
        <v>45191</v>
      </c>
      <c r="B2033" s="331">
        <f t="shared" si="37"/>
        <v>472716.17</v>
      </c>
      <c r="C2033" s="331">
        <v>472516.17</v>
      </c>
      <c r="D2033" s="479">
        <v>200</v>
      </c>
    </row>
    <row r="2034" spans="1:4" x14ac:dyDescent="0.2">
      <c r="A2034" s="728">
        <v>45194</v>
      </c>
      <c r="B2034" s="331">
        <f t="shared" si="37"/>
        <v>433269.34</v>
      </c>
      <c r="C2034" s="331">
        <v>433069.34</v>
      </c>
      <c r="D2034" s="479">
        <v>200</v>
      </c>
    </row>
    <row r="2035" spans="1:4" x14ac:dyDescent="0.2">
      <c r="A2035" s="728">
        <v>45195</v>
      </c>
      <c r="B2035" s="331">
        <f t="shared" si="37"/>
        <v>433243.64</v>
      </c>
      <c r="C2035" s="331">
        <v>433043.64</v>
      </c>
      <c r="D2035" s="479">
        <v>200</v>
      </c>
    </row>
    <row r="2036" spans="1:4" x14ac:dyDescent="0.2">
      <c r="A2036" s="728">
        <v>45196</v>
      </c>
      <c r="B2036" s="331">
        <f t="shared" si="37"/>
        <v>469337.63</v>
      </c>
      <c r="C2036" s="331">
        <v>469137.63</v>
      </c>
      <c r="D2036" s="479">
        <v>200</v>
      </c>
    </row>
    <row r="2037" spans="1:4" x14ac:dyDescent="0.2">
      <c r="A2037" s="728">
        <v>45197</v>
      </c>
      <c r="B2037" s="331">
        <f t="shared" si="37"/>
        <v>469337.63</v>
      </c>
      <c r="C2037" s="331">
        <f t="shared" ref="C2037:C2099" si="38">C2036</f>
        <v>469137.63</v>
      </c>
      <c r="D2037" s="479">
        <v>200</v>
      </c>
    </row>
    <row r="2038" spans="1:4" x14ac:dyDescent="0.2">
      <c r="A2038" s="728">
        <v>45198</v>
      </c>
      <c r="B2038" s="331">
        <f t="shared" si="37"/>
        <v>468953.03</v>
      </c>
      <c r="C2038" s="331">
        <v>468753.03</v>
      </c>
      <c r="D2038" s="479">
        <v>200</v>
      </c>
    </row>
    <row r="2039" spans="1:4" x14ac:dyDescent="0.2">
      <c r="A2039" s="728">
        <v>45201</v>
      </c>
      <c r="B2039" s="331">
        <f t="shared" si="37"/>
        <v>459905.29</v>
      </c>
      <c r="C2039" s="331">
        <v>459705.29</v>
      </c>
      <c r="D2039" s="479">
        <v>200</v>
      </c>
    </row>
    <row r="2040" spans="1:4" x14ac:dyDescent="0.2">
      <c r="A2040" s="728">
        <v>45202</v>
      </c>
      <c r="B2040" s="331">
        <f t="shared" si="37"/>
        <v>459905.29</v>
      </c>
      <c r="C2040" s="331">
        <f t="shared" si="38"/>
        <v>459705.29</v>
      </c>
      <c r="D2040" s="479">
        <v>200</v>
      </c>
    </row>
    <row r="2041" spans="1:4" x14ac:dyDescent="0.2">
      <c r="A2041" s="728">
        <v>45203</v>
      </c>
      <c r="B2041" s="331">
        <f t="shared" si="37"/>
        <v>459905.29</v>
      </c>
      <c r="C2041" s="331">
        <f t="shared" si="38"/>
        <v>459705.29</v>
      </c>
      <c r="D2041" s="479">
        <v>200</v>
      </c>
    </row>
    <row r="2042" spans="1:4" x14ac:dyDescent="0.2">
      <c r="A2042" s="728">
        <v>45204</v>
      </c>
      <c r="B2042" s="331">
        <f t="shared" si="37"/>
        <v>459905.29</v>
      </c>
      <c r="C2042" s="331">
        <f t="shared" si="38"/>
        <v>459705.29</v>
      </c>
      <c r="D2042" s="479">
        <v>200</v>
      </c>
    </row>
    <row r="2043" spans="1:4" x14ac:dyDescent="0.2">
      <c r="A2043" s="728">
        <v>45205</v>
      </c>
      <c r="B2043" s="331">
        <f t="shared" si="37"/>
        <v>459905.29</v>
      </c>
      <c r="C2043" s="331">
        <f t="shared" si="38"/>
        <v>459705.29</v>
      </c>
      <c r="D2043" s="479">
        <v>200</v>
      </c>
    </row>
    <row r="2044" spans="1:4" x14ac:dyDescent="0.2">
      <c r="A2044" s="728">
        <v>45208</v>
      </c>
      <c r="B2044" s="331">
        <f t="shared" si="37"/>
        <v>459905.29</v>
      </c>
      <c r="C2044" s="331">
        <f t="shared" si="38"/>
        <v>459705.29</v>
      </c>
      <c r="D2044" s="479">
        <v>200</v>
      </c>
    </row>
    <row r="2045" spans="1:4" x14ac:dyDescent="0.2">
      <c r="A2045" s="728">
        <v>45209</v>
      </c>
      <c r="B2045" s="331">
        <f t="shared" si="37"/>
        <v>423446.93</v>
      </c>
      <c r="C2045" s="331">
        <v>423246.93</v>
      </c>
      <c r="D2045" s="479">
        <v>200</v>
      </c>
    </row>
    <row r="2046" spans="1:4" x14ac:dyDescent="0.2">
      <c r="A2046" s="728">
        <v>45210</v>
      </c>
      <c r="B2046" s="331">
        <f t="shared" si="37"/>
        <v>423446.93</v>
      </c>
      <c r="C2046" s="331">
        <f t="shared" si="38"/>
        <v>423246.93</v>
      </c>
      <c r="D2046" s="479">
        <v>200</v>
      </c>
    </row>
    <row r="2047" spans="1:4" x14ac:dyDescent="0.2">
      <c r="A2047" s="728">
        <v>45211</v>
      </c>
      <c r="B2047" s="331">
        <f t="shared" si="37"/>
        <v>407711.69</v>
      </c>
      <c r="C2047" s="331">
        <v>407511.69</v>
      </c>
      <c r="D2047" s="479">
        <v>200</v>
      </c>
    </row>
    <row r="2048" spans="1:4" x14ac:dyDescent="0.2">
      <c r="A2048" s="728">
        <v>45212</v>
      </c>
      <c r="B2048" s="331">
        <f t="shared" si="37"/>
        <v>407733.05</v>
      </c>
      <c r="C2048" s="331">
        <v>407533.05</v>
      </c>
      <c r="D2048" s="479">
        <v>200</v>
      </c>
    </row>
    <row r="2049" spans="1:4" x14ac:dyDescent="0.2">
      <c r="A2049" s="728">
        <v>45215</v>
      </c>
      <c r="B2049" s="331">
        <f t="shared" si="37"/>
        <v>409787.27</v>
      </c>
      <c r="C2049" s="331">
        <v>409587.27</v>
      </c>
      <c r="D2049" s="479">
        <v>200</v>
      </c>
    </row>
    <row r="2050" spans="1:4" x14ac:dyDescent="0.2">
      <c r="A2050" s="728">
        <v>45216</v>
      </c>
      <c r="B2050" s="331">
        <f t="shared" si="37"/>
        <v>409787.27</v>
      </c>
      <c r="C2050" s="331">
        <f t="shared" si="38"/>
        <v>409587.27</v>
      </c>
      <c r="D2050" s="479">
        <v>200</v>
      </c>
    </row>
    <row r="2051" spans="1:4" x14ac:dyDescent="0.2">
      <c r="A2051" s="728">
        <v>45217</v>
      </c>
      <c r="B2051" s="331">
        <f t="shared" si="37"/>
        <v>410017.27</v>
      </c>
      <c r="C2051" s="331">
        <v>409817.27</v>
      </c>
      <c r="D2051" s="479">
        <v>200</v>
      </c>
    </row>
    <row r="2052" spans="1:4" x14ac:dyDescent="0.2">
      <c r="A2052" s="728">
        <v>45218</v>
      </c>
      <c r="B2052" s="331">
        <f t="shared" si="37"/>
        <v>418625.7</v>
      </c>
      <c r="C2052" s="331">
        <v>418425.7</v>
      </c>
      <c r="D2052" s="479">
        <v>200</v>
      </c>
    </row>
    <row r="2053" spans="1:4" x14ac:dyDescent="0.2">
      <c r="A2053" s="728">
        <v>45219</v>
      </c>
      <c r="B2053" s="331">
        <f t="shared" si="37"/>
        <v>418550.7</v>
      </c>
      <c r="C2053" s="331">
        <v>418350.7</v>
      </c>
      <c r="D2053" s="479">
        <v>200</v>
      </c>
    </row>
    <row r="2054" spans="1:4" x14ac:dyDescent="0.2">
      <c r="A2054" s="728">
        <v>45222</v>
      </c>
      <c r="B2054" s="331">
        <f t="shared" si="37"/>
        <v>381523.11</v>
      </c>
      <c r="C2054" s="331">
        <v>381323.11</v>
      </c>
      <c r="D2054" s="479">
        <v>200</v>
      </c>
    </row>
    <row r="2055" spans="1:4" x14ac:dyDescent="0.2">
      <c r="A2055" s="728">
        <v>45223</v>
      </c>
      <c r="B2055" s="331">
        <f t="shared" si="37"/>
        <v>381523.11</v>
      </c>
      <c r="C2055" s="331">
        <f t="shared" si="38"/>
        <v>381323.11</v>
      </c>
      <c r="D2055" s="479">
        <v>200</v>
      </c>
    </row>
    <row r="2056" spans="1:4" x14ac:dyDescent="0.2">
      <c r="A2056" s="728">
        <v>45224</v>
      </c>
      <c r="B2056" s="331">
        <f t="shared" si="37"/>
        <v>381523.11</v>
      </c>
      <c r="C2056" s="331">
        <f t="shared" si="38"/>
        <v>381323.11</v>
      </c>
      <c r="D2056" s="479">
        <v>200</v>
      </c>
    </row>
    <row r="2057" spans="1:4" x14ac:dyDescent="0.2">
      <c r="A2057" s="728">
        <v>45225</v>
      </c>
      <c r="B2057" s="331">
        <f t="shared" si="37"/>
        <v>381909.52</v>
      </c>
      <c r="C2057" s="331">
        <v>381709.52</v>
      </c>
      <c r="D2057" s="479">
        <v>200</v>
      </c>
    </row>
    <row r="2058" spans="1:4" x14ac:dyDescent="0.2">
      <c r="A2058" s="728">
        <v>45226</v>
      </c>
      <c r="B2058" s="331">
        <f t="shared" si="37"/>
        <v>381524.92</v>
      </c>
      <c r="C2058" s="331">
        <v>381324.92</v>
      </c>
      <c r="D2058" s="479">
        <v>200</v>
      </c>
    </row>
    <row r="2059" spans="1:4" x14ac:dyDescent="0.2">
      <c r="A2059" s="728">
        <v>45229</v>
      </c>
      <c r="B2059" s="331">
        <f t="shared" si="37"/>
        <v>381524.92</v>
      </c>
      <c r="C2059" s="331">
        <f t="shared" si="38"/>
        <v>381324.92</v>
      </c>
      <c r="D2059" s="479">
        <v>200</v>
      </c>
    </row>
    <row r="2060" spans="1:4" x14ac:dyDescent="0.2">
      <c r="A2060" s="728">
        <v>45230</v>
      </c>
      <c r="B2060" s="331">
        <f t="shared" si="37"/>
        <v>403601.43</v>
      </c>
      <c r="C2060" s="331">
        <v>403401.43</v>
      </c>
      <c r="D2060" s="479">
        <v>200</v>
      </c>
    </row>
    <row r="2061" spans="1:4" x14ac:dyDescent="0.2">
      <c r="A2061" s="728">
        <v>45231</v>
      </c>
      <c r="B2061" s="331">
        <f t="shared" ref="B2061:B2103" si="39">C2061+D2061</f>
        <v>403601.43</v>
      </c>
      <c r="C2061" s="331">
        <f t="shared" si="38"/>
        <v>403401.43</v>
      </c>
      <c r="D2061" s="479">
        <v>200</v>
      </c>
    </row>
    <row r="2062" spans="1:4" x14ac:dyDescent="0.2">
      <c r="A2062" s="728">
        <v>45232</v>
      </c>
      <c r="B2062" s="331">
        <f t="shared" si="39"/>
        <v>388696.73</v>
      </c>
      <c r="C2062" s="331">
        <v>388496.73</v>
      </c>
      <c r="D2062" s="479">
        <v>200</v>
      </c>
    </row>
    <row r="2063" spans="1:4" x14ac:dyDescent="0.2">
      <c r="A2063" s="728">
        <v>45233</v>
      </c>
      <c r="B2063" s="331">
        <f t="shared" si="39"/>
        <v>388696.73</v>
      </c>
      <c r="C2063" s="331">
        <f t="shared" si="38"/>
        <v>388496.73</v>
      </c>
      <c r="D2063" s="479">
        <v>200</v>
      </c>
    </row>
    <row r="2064" spans="1:4" x14ac:dyDescent="0.2">
      <c r="A2064" s="728">
        <v>45236</v>
      </c>
      <c r="B2064" s="331">
        <f t="shared" si="39"/>
        <v>354074.98</v>
      </c>
      <c r="C2064" s="331">
        <v>353874.98</v>
      </c>
      <c r="D2064" s="479">
        <v>200</v>
      </c>
    </row>
    <row r="2065" spans="1:4" x14ac:dyDescent="0.2">
      <c r="A2065" s="728">
        <v>45237</v>
      </c>
      <c r="B2065" s="331">
        <f t="shared" si="39"/>
        <v>354074.98</v>
      </c>
      <c r="C2065" s="331">
        <f t="shared" si="38"/>
        <v>353874.98</v>
      </c>
      <c r="D2065" s="479">
        <v>200</v>
      </c>
    </row>
    <row r="2066" spans="1:4" x14ac:dyDescent="0.2">
      <c r="A2066" s="728">
        <v>45238</v>
      </c>
      <c r="B2066" s="331">
        <f t="shared" si="39"/>
        <v>412115.27</v>
      </c>
      <c r="C2066" s="331">
        <v>411915.27</v>
      </c>
      <c r="D2066" s="479">
        <v>200</v>
      </c>
    </row>
    <row r="2067" spans="1:4" x14ac:dyDescent="0.2">
      <c r="A2067" s="728">
        <v>45239</v>
      </c>
      <c r="B2067" s="331">
        <f t="shared" si="39"/>
        <v>421170.44</v>
      </c>
      <c r="C2067" s="331">
        <v>420970.44</v>
      </c>
      <c r="D2067" s="479">
        <v>200</v>
      </c>
    </row>
    <row r="2068" spans="1:4" x14ac:dyDescent="0.2">
      <c r="A2068" s="728">
        <v>45240</v>
      </c>
      <c r="B2068" s="331">
        <f t="shared" si="39"/>
        <v>443466.68</v>
      </c>
      <c r="C2068" s="331">
        <v>443266.68</v>
      </c>
      <c r="D2068" s="479">
        <v>200</v>
      </c>
    </row>
    <row r="2069" spans="1:4" x14ac:dyDescent="0.2">
      <c r="A2069" s="728">
        <v>45243</v>
      </c>
      <c r="B2069" s="331">
        <f t="shared" si="39"/>
        <v>443466.68</v>
      </c>
      <c r="C2069" s="331">
        <f t="shared" si="38"/>
        <v>443266.68</v>
      </c>
      <c r="D2069" s="479">
        <v>200</v>
      </c>
    </row>
    <row r="2070" spans="1:4" x14ac:dyDescent="0.2">
      <c r="A2070" s="728">
        <v>45244</v>
      </c>
      <c r="B2070" s="331">
        <f t="shared" si="39"/>
        <v>443467.28</v>
      </c>
      <c r="C2070" s="331">
        <v>443267.28</v>
      </c>
      <c r="D2070" s="479">
        <v>200</v>
      </c>
    </row>
    <row r="2071" spans="1:4" x14ac:dyDescent="0.2">
      <c r="A2071" s="728">
        <v>45245</v>
      </c>
      <c r="B2071" s="331">
        <f t="shared" si="39"/>
        <v>467133.83</v>
      </c>
      <c r="C2071" s="331">
        <v>466933.83</v>
      </c>
      <c r="D2071" s="479">
        <v>200</v>
      </c>
    </row>
    <row r="2072" spans="1:4" x14ac:dyDescent="0.2">
      <c r="A2072" s="728">
        <v>45246</v>
      </c>
      <c r="B2072" s="331">
        <f t="shared" si="39"/>
        <v>457231.63</v>
      </c>
      <c r="C2072" s="331">
        <v>457031.63</v>
      </c>
      <c r="D2072" s="479">
        <v>200</v>
      </c>
    </row>
    <row r="2073" spans="1:4" x14ac:dyDescent="0.2">
      <c r="A2073" s="728">
        <v>45247</v>
      </c>
      <c r="B2073" s="331">
        <f t="shared" si="39"/>
        <v>457180.17</v>
      </c>
      <c r="C2073" s="331">
        <v>456980.17</v>
      </c>
      <c r="D2073" s="479">
        <v>200</v>
      </c>
    </row>
    <row r="2074" spans="1:4" x14ac:dyDescent="0.2">
      <c r="A2074" s="728">
        <v>45250</v>
      </c>
      <c r="B2074" s="331">
        <f t="shared" si="39"/>
        <v>413685.69</v>
      </c>
      <c r="C2074" s="331">
        <v>413485.69</v>
      </c>
      <c r="D2074" s="479">
        <v>200</v>
      </c>
    </row>
    <row r="2075" spans="1:4" x14ac:dyDescent="0.2">
      <c r="A2075" s="728">
        <v>45251</v>
      </c>
      <c r="B2075" s="331">
        <f t="shared" si="39"/>
        <v>413685.69</v>
      </c>
      <c r="C2075" s="331">
        <f t="shared" si="38"/>
        <v>413485.69</v>
      </c>
      <c r="D2075" s="479">
        <v>200</v>
      </c>
    </row>
    <row r="2076" spans="1:4" x14ac:dyDescent="0.2">
      <c r="A2076" s="728">
        <v>45252</v>
      </c>
      <c r="B2076" s="331">
        <f t="shared" si="39"/>
        <v>414169.69</v>
      </c>
      <c r="C2076" s="331">
        <v>413969.69</v>
      </c>
      <c r="D2076" s="479">
        <v>200</v>
      </c>
    </row>
    <row r="2077" spans="1:4" x14ac:dyDescent="0.2">
      <c r="A2077" s="728">
        <v>45253</v>
      </c>
      <c r="B2077" s="331">
        <f t="shared" si="39"/>
        <v>414169.69</v>
      </c>
      <c r="C2077" s="331">
        <f t="shared" si="38"/>
        <v>413969.69</v>
      </c>
      <c r="D2077" s="479">
        <v>200</v>
      </c>
    </row>
    <row r="2078" spans="1:4" x14ac:dyDescent="0.2">
      <c r="A2078" s="728">
        <v>45254</v>
      </c>
      <c r="B2078" s="331">
        <f t="shared" si="39"/>
        <v>413785.09</v>
      </c>
      <c r="C2078" s="331">
        <v>413585.09</v>
      </c>
      <c r="D2078" s="479">
        <v>200</v>
      </c>
    </row>
    <row r="2079" spans="1:4" x14ac:dyDescent="0.2">
      <c r="A2079" s="728">
        <v>45257</v>
      </c>
      <c r="B2079" s="331">
        <f t="shared" si="39"/>
        <v>413785.09</v>
      </c>
      <c r="C2079" s="331">
        <f t="shared" si="38"/>
        <v>413585.09</v>
      </c>
      <c r="D2079" s="479">
        <v>200</v>
      </c>
    </row>
    <row r="2080" spans="1:4" x14ac:dyDescent="0.2">
      <c r="A2080" s="728">
        <v>45258</v>
      </c>
      <c r="B2080" s="331">
        <f t="shared" si="39"/>
        <v>413647.44</v>
      </c>
      <c r="C2080" s="331">
        <v>413447.44</v>
      </c>
      <c r="D2080" s="479">
        <v>200</v>
      </c>
    </row>
    <row r="2081" spans="1:4" x14ac:dyDescent="0.2">
      <c r="A2081" s="728">
        <v>45259</v>
      </c>
      <c r="B2081" s="331">
        <f t="shared" si="39"/>
        <v>413647.44</v>
      </c>
      <c r="C2081" s="331">
        <f t="shared" si="38"/>
        <v>413447.44</v>
      </c>
      <c r="D2081" s="479">
        <v>200</v>
      </c>
    </row>
    <row r="2082" spans="1:4" x14ac:dyDescent="0.2">
      <c r="A2082" s="728">
        <v>45260</v>
      </c>
      <c r="B2082" s="331">
        <f t="shared" si="39"/>
        <v>456909.26</v>
      </c>
      <c r="C2082" s="331">
        <v>456709.26</v>
      </c>
      <c r="D2082" s="479">
        <v>200</v>
      </c>
    </row>
    <row r="2083" spans="1:4" x14ac:dyDescent="0.2">
      <c r="A2083" s="728">
        <v>45261</v>
      </c>
      <c r="B2083" s="331">
        <f t="shared" si="39"/>
        <v>456909.26</v>
      </c>
      <c r="C2083" s="331">
        <f t="shared" si="38"/>
        <v>456709.26</v>
      </c>
      <c r="D2083" s="479">
        <v>200</v>
      </c>
    </row>
    <row r="2084" spans="1:4" x14ac:dyDescent="0.2">
      <c r="A2084" s="728">
        <v>45264</v>
      </c>
      <c r="B2084" s="331">
        <f t="shared" si="39"/>
        <v>420452.25</v>
      </c>
      <c r="C2084" s="331">
        <v>420252.25</v>
      </c>
      <c r="D2084" s="479">
        <v>200</v>
      </c>
    </row>
    <row r="2085" spans="1:4" x14ac:dyDescent="0.2">
      <c r="A2085" s="728">
        <v>45265</v>
      </c>
      <c r="B2085" s="331">
        <f t="shared" si="39"/>
        <v>420452.25</v>
      </c>
      <c r="C2085" s="331">
        <f t="shared" si="38"/>
        <v>420252.25</v>
      </c>
      <c r="D2085" s="479">
        <v>200</v>
      </c>
    </row>
    <row r="2086" spans="1:4" x14ac:dyDescent="0.2">
      <c r="A2086" s="728">
        <v>45266</v>
      </c>
      <c r="B2086" s="331">
        <f t="shared" si="39"/>
        <v>545432.25</v>
      </c>
      <c r="C2086" s="331">
        <v>545232.25</v>
      </c>
      <c r="D2086" s="479">
        <v>200</v>
      </c>
    </row>
    <row r="2087" spans="1:4" x14ac:dyDescent="0.2">
      <c r="A2087" s="728">
        <v>45267</v>
      </c>
      <c r="B2087" s="331">
        <f t="shared" si="39"/>
        <v>545590.84</v>
      </c>
      <c r="C2087" s="331">
        <v>545390.84</v>
      </c>
      <c r="D2087" s="479">
        <v>200</v>
      </c>
    </row>
    <row r="2088" spans="1:4" x14ac:dyDescent="0.2">
      <c r="A2088" s="728">
        <v>45268</v>
      </c>
      <c r="B2088" s="331">
        <f t="shared" si="39"/>
        <v>525679.43000000005</v>
      </c>
      <c r="C2088" s="331">
        <v>525479.43000000005</v>
      </c>
      <c r="D2088" s="479">
        <v>200</v>
      </c>
    </row>
    <row r="2089" spans="1:4" x14ac:dyDescent="0.2">
      <c r="A2089" s="728">
        <v>45271</v>
      </c>
      <c r="B2089" s="331">
        <f t="shared" si="39"/>
        <v>545765.34</v>
      </c>
      <c r="C2089" s="331">
        <v>545565.34</v>
      </c>
      <c r="D2089" s="479">
        <v>200</v>
      </c>
    </row>
    <row r="2090" spans="1:4" x14ac:dyDescent="0.2">
      <c r="A2090" s="728">
        <v>45272</v>
      </c>
      <c r="B2090" s="331">
        <f t="shared" si="39"/>
        <v>546390.34</v>
      </c>
      <c r="C2090" s="331">
        <v>546190.34</v>
      </c>
      <c r="D2090" s="479">
        <v>200</v>
      </c>
    </row>
    <row r="2091" spans="1:4" x14ac:dyDescent="0.2">
      <c r="A2091" s="728">
        <v>45273</v>
      </c>
      <c r="B2091" s="331">
        <f t="shared" si="39"/>
        <v>546489.65</v>
      </c>
      <c r="C2091" s="331">
        <v>546289.65</v>
      </c>
      <c r="D2091" s="479">
        <v>200</v>
      </c>
    </row>
    <row r="2092" spans="1:4" x14ac:dyDescent="0.2">
      <c r="A2092" s="728">
        <v>45274</v>
      </c>
      <c r="B2092" s="331">
        <f t="shared" si="39"/>
        <v>540866.25</v>
      </c>
      <c r="C2092" s="331">
        <v>540666.25</v>
      </c>
      <c r="D2092" s="479">
        <v>200</v>
      </c>
    </row>
    <row r="2093" spans="1:4" x14ac:dyDescent="0.2">
      <c r="A2093" s="728">
        <v>45275</v>
      </c>
      <c r="B2093" s="331">
        <f t="shared" si="39"/>
        <v>540913.56000000006</v>
      </c>
      <c r="C2093" s="331">
        <v>540713.56000000006</v>
      </c>
      <c r="D2093" s="479">
        <v>200</v>
      </c>
    </row>
    <row r="2094" spans="1:4" x14ac:dyDescent="0.2">
      <c r="A2094" s="728">
        <v>45278</v>
      </c>
      <c r="B2094" s="331">
        <f t="shared" si="39"/>
        <v>533274.25</v>
      </c>
      <c r="C2094" s="331">
        <v>533074.25</v>
      </c>
      <c r="D2094" s="479">
        <v>200</v>
      </c>
    </row>
    <row r="2095" spans="1:4" x14ac:dyDescent="0.2">
      <c r="A2095" s="728">
        <v>45279</v>
      </c>
      <c r="B2095" s="331">
        <f t="shared" si="39"/>
        <v>618886.13</v>
      </c>
      <c r="C2095" s="331">
        <v>618686.13</v>
      </c>
      <c r="D2095" s="479">
        <v>200</v>
      </c>
    </row>
    <row r="2096" spans="1:4" x14ac:dyDescent="0.2">
      <c r="A2096" s="728">
        <v>45280</v>
      </c>
      <c r="B2096" s="331">
        <f t="shared" si="39"/>
        <v>614102.62</v>
      </c>
      <c r="C2096" s="331">
        <v>613902.62</v>
      </c>
      <c r="D2096" s="479">
        <v>200</v>
      </c>
    </row>
    <row r="2097" spans="1:8" x14ac:dyDescent="0.2">
      <c r="A2097" s="728">
        <v>45281</v>
      </c>
      <c r="B2097" s="331">
        <f t="shared" si="39"/>
        <v>624405.25</v>
      </c>
      <c r="C2097" s="331">
        <v>624205.25</v>
      </c>
      <c r="D2097" s="479">
        <v>200</v>
      </c>
    </row>
    <row r="2098" spans="1:8" x14ac:dyDescent="0.2">
      <c r="A2098" s="728">
        <v>45282</v>
      </c>
      <c r="B2098" s="331">
        <f t="shared" si="39"/>
        <v>626377.68000000005</v>
      </c>
      <c r="C2098" s="331">
        <v>626177.68000000005</v>
      </c>
      <c r="D2098" s="479">
        <v>200</v>
      </c>
    </row>
    <row r="2099" spans="1:8" x14ac:dyDescent="0.2">
      <c r="A2099" s="728">
        <v>45285</v>
      </c>
      <c r="B2099" s="331">
        <f t="shared" si="39"/>
        <v>626377.68000000005</v>
      </c>
      <c r="C2099" s="331">
        <f t="shared" si="38"/>
        <v>626177.68000000005</v>
      </c>
      <c r="D2099" s="479">
        <v>200</v>
      </c>
    </row>
    <row r="2100" spans="1:8" x14ac:dyDescent="0.2">
      <c r="A2100" s="728">
        <v>45286</v>
      </c>
      <c r="B2100" s="331">
        <f t="shared" si="39"/>
        <v>643671.14</v>
      </c>
      <c r="C2100" s="331">
        <v>643471.14</v>
      </c>
      <c r="D2100" s="479">
        <v>200</v>
      </c>
    </row>
    <row r="2101" spans="1:8" x14ac:dyDescent="0.2">
      <c r="A2101" s="728">
        <v>45287</v>
      </c>
      <c r="B2101" s="331">
        <f t="shared" si="39"/>
        <v>644766.57999999996</v>
      </c>
      <c r="C2101" s="331">
        <v>644566.57999999996</v>
      </c>
      <c r="D2101" s="479">
        <v>200</v>
      </c>
    </row>
    <row r="2102" spans="1:8" x14ac:dyDescent="0.2">
      <c r="A2102" s="728">
        <v>45288</v>
      </c>
      <c r="B2102" s="331">
        <f t="shared" si="39"/>
        <v>638881.80000000005</v>
      </c>
      <c r="C2102" s="331">
        <v>638681.80000000005</v>
      </c>
      <c r="D2102" s="479">
        <v>200</v>
      </c>
    </row>
    <row r="2103" spans="1:8" x14ac:dyDescent="0.2">
      <c r="A2103" s="728">
        <v>45289</v>
      </c>
      <c r="B2103" s="364">
        <f t="shared" si="39"/>
        <v>661874.81999999995</v>
      </c>
      <c r="C2103" s="331">
        <v>661674.81999999995</v>
      </c>
      <c r="D2103" s="479">
        <v>200</v>
      </c>
    </row>
    <row r="2104" spans="1:8" x14ac:dyDescent="0.2">
      <c r="A2104" s="728">
        <v>45290</v>
      </c>
      <c r="B2104" s="331">
        <f t="shared" ref="B2104:B2148" si="40">C2104+D2104</f>
        <v>661874.81999999995</v>
      </c>
      <c r="C2104" s="331">
        <f t="shared" ref="C2104:C2156" si="41">C2103</f>
        <v>661674.81999999995</v>
      </c>
      <c r="D2104" s="479">
        <v>200</v>
      </c>
      <c r="G2104" t="s">
        <v>294</v>
      </c>
      <c r="H2104" s="212">
        <f>AVERAGE(B1840:B2105)</f>
        <v>413183.96255639108</v>
      </c>
    </row>
    <row r="2105" spans="1:8" x14ac:dyDescent="0.2">
      <c r="A2105" s="728">
        <v>45291</v>
      </c>
      <c r="B2105" s="331">
        <f t="shared" si="40"/>
        <v>661874.81999999995</v>
      </c>
      <c r="C2105" s="331">
        <f t="shared" si="41"/>
        <v>661674.81999999995</v>
      </c>
      <c r="D2105" s="479">
        <v>200</v>
      </c>
    </row>
    <row r="2106" spans="1:8" x14ac:dyDescent="0.2">
      <c r="A2106" s="728">
        <v>45292</v>
      </c>
      <c r="B2106" s="331">
        <f t="shared" si="40"/>
        <v>661874.81999999995</v>
      </c>
      <c r="C2106" s="331">
        <f t="shared" si="41"/>
        <v>661674.81999999995</v>
      </c>
      <c r="D2106" s="479">
        <v>200</v>
      </c>
    </row>
    <row r="2107" spans="1:8" x14ac:dyDescent="0.2">
      <c r="A2107" s="728">
        <v>45293</v>
      </c>
      <c r="B2107" s="331">
        <f t="shared" si="40"/>
        <v>612116.59</v>
      </c>
      <c r="C2107" s="331">
        <v>611916.59</v>
      </c>
      <c r="D2107" s="479">
        <v>200</v>
      </c>
    </row>
    <row r="2108" spans="1:8" x14ac:dyDescent="0.2">
      <c r="A2108" s="728">
        <v>45294</v>
      </c>
      <c r="B2108" s="331">
        <f t="shared" si="40"/>
        <v>611802.93999999994</v>
      </c>
      <c r="C2108" s="331">
        <v>611602.93999999994</v>
      </c>
      <c r="D2108" s="479">
        <v>200</v>
      </c>
    </row>
    <row r="2109" spans="1:8" x14ac:dyDescent="0.2">
      <c r="A2109" s="728">
        <v>45295</v>
      </c>
      <c r="B2109" s="331">
        <f t="shared" si="40"/>
        <v>611802.93999999994</v>
      </c>
      <c r="C2109" s="331">
        <f t="shared" si="41"/>
        <v>611602.93999999994</v>
      </c>
      <c r="D2109" s="479">
        <v>200</v>
      </c>
    </row>
    <row r="2110" spans="1:8" x14ac:dyDescent="0.2">
      <c r="A2110" s="728">
        <v>45296</v>
      </c>
      <c r="B2110" s="331">
        <f t="shared" si="40"/>
        <v>611802.93999999994</v>
      </c>
      <c r="C2110" s="331">
        <f t="shared" si="41"/>
        <v>611602.93999999994</v>
      </c>
      <c r="D2110" s="479">
        <v>200</v>
      </c>
    </row>
    <row r="2111" spans="1:8" x14ac:dyDescent="0.2">
      <c r="A2111" s="728">
        <v>45299</v>
      </c>
      <c r="B2111" s="331">
        <f t="shared" si="40"/>
        <v>597286.13</v>
      </c>
      <c r="C2111" s="331">
        <v>597086.13</v>
      </c>
      <c r="D2111" s="479">
        <v>200</v>
      </c>
    </row>
    <row r="2112" spans="1:8" x14ac:dyDescent="0.2">
      <c r="A2112" s="728">
        <v>45300</v>
      </c>
      <c r="B2112" s="331">
        <f t="shared" si="40"/>
        <v>597286.13</v>
      </c>
      <c r="C2112" s="331">
        <f t="shared" si="41"/>
        <v>597086.13</v>
      </c>
      <c r="D2112" s="479">
        <v>200</v>
      </c>
    </row>
    <row r="2113" spans="1:4" x14ac:dyDescent="0.2">
      <c r="A2113" s="728">
        <v>45301</v>
      </c>
      <c r="B2113" s="331">
        <f t="shared" si="40"/>
        <v>597286.13</v>
      </c>
      <c r="C2113" s="331">
        <f t="shared" si="41"/>
        <v>597086.13</v>
      </c>
      <c r="D2113" s="479">
        <v>200</v>
      </c>
    </row>
    <row r="2114" spans="1:4" x14ac:dyDescent="0.2">
      <c r="A2114" s="728">
        <v>45302</v>
      </c>
      <c r="B2114" s="331">
        <f t="shared" si="40"/>
        <v>608030.19999999995</v>
      </c>
      <c r="C2114" s="331">
        <v>607830.19999999995</v>
      </c>
      <c r="D2114" s="479">
        <v>200</v>
      </c>
    </row>
    <row r="2115" spans="1:4" x14ac:dyDescent="0.2">
      <c r="A2115" s="728">
        <v>45303</v>
      </c>
      <c r="B2115" s="331">
        <f t="shared" si="40"/>
        <v>608078.04</v>
      </c>
      <c r="C2115" s="331">
        <v>607878.04</v>
      </c>
      <c r="D2115" s="479">
        <v>200</v>
      </c>
    </row>
    <row r="2116" spans="1:4" x14ac:dyDescent="0.2">
      <c r="A2116" s="728">
        <v>45306</v>
      </c>
      <c r="B2116" s="331">
        <f t="shared" si="40"/>
        <v>608078.04</v>
      </c>
      <c r="C2116" s="331">
        <f t="shared" si="41"/>
        <v>607878.04</v>
      </c>
      <c r="D2116" s="479">
        <v>200</v>
      </c>
    </row>
    <row r="2117" spans="1:4" x14ac:dyDescent="0.2">
      <c r="A2117" s="728">
        <v>45307</v>
      </c>
      <c r="B2117" s="331">
        <f t="shared" si="40"/>
        <v>586838.57999999996</v>
      </c>
      <c r="C2117" s="331">
        <v>586638.57999999996</v>
      </c>
      <c r="D2117" s="479">
        <v>200</v>
      </c>
    </row>
    <row r="2118" spans="1:4" x14ac:dyDescent="0.2">
      <c r="A2118" s="728">
        <v>45308</v>
      </c>
      <c r="B2118" s="331">
        <f t="shared" si="40"/>
        <v>582760.27</v>
      </c>
      <c r="C2118" s="331">
        <v>582560.27</v>
      </c>
      <c r="D2118" s="479">
        <v>200</v>
      </c>
    </row>
    <row r="2119" spans="1:4" x14ac:dyDescent="0.2">
      <c r="A2119" s="728">
        <v>45309</v>
      </c>
      <c r="B2119" s="331">
        <f t="shared" si="40"/>
        <v>591268.14</v>
      </c>
      <c r="C2119" s="331">
        <v>591068.14</v>
      </c>
      <c r="D2119" s="479">
        <v>200</v>
      </c>
    </row>
    <row r="2120" spans="1:4" x14ac:dyDescent="0.2">
      <c r="A2120" s="728">
        <v>45310</v>
      </c>
      <c r="B2120" s="331">
        <f t="shared" si="40"/>
        <v>606839.55000000005</v>
      </c>
      <c r="C2120" s="331">
        <v>606639.55000000005</v>
      </c>
      <c r="D2120" s="479">
        <v>200</v>
      </c>
    </row>
    <row r="2121" spans="1:4" x14ac:dyDescent="0.2">
      <c r="A2121" s="728">
        <v>45313</v>
      </c>
      <c r="B2121" s="331">
        <f t="shared" si="40"/>
        <v>594580.53</v>
      </c>
      <c r="C2121" s="331">
        <v>594380.53</v>
      </c>
      <c r="D2121" s="479">
        <v>200</v>
      </c>
    </row>
    <row r="2122" spans="1:4" x14ac:dyDescent="0.2">
      <c r="A2122" s="728">
        <v>45314</v>
      </c>
      <c r="B2122" s="331">
        <f t="shared" si="40"/>
        <v>593705.04</v>
      </c>
      <c r="C2122" s="331">
        <v>593505.04</v>
      </c>
      <c r="D2122" s="479">
        <v>200</v>
      </c>
    </row>
    <row r="2123" spans="1:4" x14ac:dyDescent="0.2">
      <c r="A2123" s="728">
        <v>45315</v>
      </c>
      <c r="B2123" s="331">
        <f t="shared" si="40"/>
        <v>593705.04</v>
      </c>
      <c r="C2123" s="331">
        <f t="shared" si="41"/>
        <v>593505.04</v>
      </c>
      <c r="D2123" s="479">
        <v>200</v>
      </c>
    </row>
    <row r="2124" spans="1:4" x14ac:dyDescent="0.2">
      <c r="A2124" s="728">
        <v>45316</v>
      </c>
      <c r="B2124" s="331">
        <f t="shared" si="40"/>
        <v>587304.93000000005</v>
      </c>
      <c r="C2124" s="331">
        <v>587104.93000000005</v>
      </c>
      <c r="D2124" s="479">
        <v>200</v>
      </c>
    </row>
    <row r="2125" spans="1:4" x14ac:dyDescent="0.2">
      <c r="A2125" s="728">
        <v>45317</v>
      </c>
      <c r="B2125" s="331">
        <f t="shared" si="40"/>
        <v>587269.94999999995</v>
      </c>
      <c r="C2125" s="331">
        <v>587069.94999999995</v>
      </c>
      <c r="D2125" s="479">
        <v>200</v>
      </c>
    </row>
    <row r="2126" spans="1:4" x14ac:dyDescent="0.2">
      <c r="A2126" s="728">
        <v>45320</v>
      </c>
      <c r="B2126" s="331">
        <f t="shared" si="40"/>
        <v>586679.74</v>
      </c>
      <c r="C2126" s="331">
        <v>586479.74</v>
      </c>
      <c r="D2126" s="479">
        <v>200</v>
      </c>
    </row>
    <row r="2127" spans="1:4" x14ac:dyDescent="0.2">
      <c r="A2127" s="728">
        <v>45321</v>
      </c>
      <c r="B2127" s="331">
        <f t="shared" si="40"/>
        <v>553504.59</v>
      </c>
      <c r="C2127" s="331">
        <v>553304.59</v>
      </c>
      <c r="D2127" s="479">
        <v>200</v>
      </c>
    </row>
    <row r="2128" spans="1:4" x14ac:dyDescent="0.2">
      <c r="A2128" s="728">
        <v>45322</v>
      </c>
      <c r="B2128" s="331">
        <f t="shared" si="40"/>
        <v>553504.59</v>
      </c>
      <c r="C2128" s="331">
        <f t="shared" si="41"/>
        <v>553304.59</v>
      </c>
      <c r="D2128" s="479">
        <v>200</v>
      </c>
    </row>
    <row r="2129" spans="1:4" x14ac:dyDescent="0.2">
      <c r="A2129" s="728">
        <v>45323</v>
      </c>
      <c r="B2129" s="331">
        <f t="shared" si="40"/>
        <v>553504.59</v>
      </c>
      <c r="C2129" s="331">
        <f t="shared" si="41"/>
        <v>553304.59</v>
      </c>
      <c r="D2129" s="479">
        <v>200</v>
      </c>
    </row>
    <row r="2130" spans="1:4" x14ac:dyDescent="0.2">
      <c r="A2130" s="728">
        <v>45324</v>
      </c>
      <c r="B2130" s="331">
        <f t="shared" si="40"/>
        <v>592925.96</v>
      </c>
      <c r="C2130" s="331">
        <v>592725.96</v>
      </c>
      <c r="D2130" s="479">
        <v>200</v>
      </c>
    </row>
    <row r="2131" spans="1:4" x14ac:dyDescent="0.2">
      <c r="A2131" s="728">
        <v>45327</v>
      </c>
      <c r="B2131" s="331">
        <f t="shared" si="40"/>
        <v>579325.18999999994</v>
      </c>
      <c r="C2131" s="331">
        <v>579125.18999999994</v>
      </c>
      <c r="D2131" s="479">
        <v>200</v>
      </c>
    </row>
    <row r="2132" spans="1:4" x14ac:dyDescent="0.2">
      <c r="A2132" s="728">
        <v>45328</v>
      </c>
      <c r="B2132" s="331">
        <f t="shared" si="40"/>
        <v>579515.18999999994</v>
      </c>
      <c r="C2132" s="331">
        <v>579315.18999999994</v>
      </c>
      <c r="D2132" s="479">
        <v>200</v>
      </c>
    </row>
    <row r="2133" spans="1:4" x14ac:dyDescent="0.2">
      <c r="A2133" s="728">
        <v>45329</v>
      </c>
      <c r="B2133" s="331">
        <f t="shared" si="40"/>
        <v>580657.82999999996</v>
      </c>
      <c r="C2133" s="331">
        <v>580457.82999999996</v>
      </c>
      <c r="D2133" s="479">
        <v>200</v>
      </c>
    </row>
    <row r="2134" spans="1:4" x14ac:dyDescent="0.2">
      <c r="A2134" s="728">
        <v>45330</v>
      </c>
      <c r="B2134" s="331">
        <f t="shared" si="40"/>
        <v>579328.14</v>
      </c>
      <c r="C2134" s="331">
        <v>579128.14</v>
      </c>
      <c r="D2134" s="479">
        <v>200</v>
      </c>
    </row>
    <row r="2135" spans="1:4" x14ac:dyDescent="0.2">
      <c r="A2135" s="728">
        <v>45331</v>
      </c>
      <c r="B2135" s="331">
        <f t="shared" si="40"/>
        <v>579328.14</v>
      </c>
      <c r="C2135" s="331">
        <f t="shared" si="41"/>
        <v>579128.14</v>
      </c>
      <c r="D2135" s="479">
        <v>200</v>
      </c>
    </row>
    <row r="2136" spans="1:4" x14ac:dyDescent="0.2">
      <c r="A2136" s="728">
        <v>45334</v>
      </c>
      <c r="B2136" s="331">
        <f t="shared" si="40"/>
        <v>543891.63</v>
      </c>
      <c r="C2136" s="331">
        <v>543691.63</v>
      </c>
      <c r="D2136" s="479">
        <v>200</v>
      </c>
    </row>
    <row r="2137" spans="1:4" x14ac:dyDescent="0.2">
      <c r="A2137" s="728">
        <v>45335</v>
      </c>
      <c r="B2137" s="331">
        <f t="shared" si="40"/>
        <v>543891.63</v>
      </c>
      <c r="C2137" s="331">
        <f t="shared" si="41"/>
        <v>543691.63</v>
      </c>
      <c r="D2137" s="479">
        <v>200</v>
      </c>
    </row>
    <row r="2138" spans="1:4" x14ac:dyDescent="0.2">
      <c r="A2138" s="728">
        <v>45336</v>
      </c>
      <c r="B2138" s="331">
        <f t="shared" si="40"/>
        <v>579929.61</v>
      </c>
      <c r="C2138" s="331">
        <v>579729.61</v>
      </c>
      <c r="D2138" s="479">
        <v>200</v>
      </c>
    </row>
    <row r="2139" spans="1:4" x14ac:dyDescent="0.2">
      <c r="A2139" s="728">
        <v>45337</v>
      </c>
      <c r="B2139" s="331">
        <f t="shared" si="40"/>
        <v>566140.77</v>
      </c>
      <c r="C2139" s="331">
        <v>565940.77</v>
      </c>
      <c r="D2139" s="479">
        <v>200</v>
      </c>
    </row>
    <row r="2140" spans="1:4" x14ac:dyDescent="0.2">
      <c r="A2140" s="728">
        <v>45338</v>
      </c>
      <c r="B2140" s="331">
        <f t="shared" si="40"/>
        <v>566424.71</v>
      </c>
      <c r="C2140" s="331">
        <v>566224.71</v>
      </c>
      <c r="D2140" s="479">
        <v>200</v>
      </c>
    </row>
    <row r="2141" spans="1:4" x14ac:dyDescent="0.2">
      <c r="A2141" s="728">
        <v>45341</v>
      </c>
      <c r="B2141" s="331">
        <f t="shared" si="40"/>
        <v>566424.71</v>
      </c>
      <c r="C2141" s="331">
        <f t="shared" si="41"/>
        <v>566224.71</v>
      </c>
      <c r="D2141" s="479">
        <v>200</v>
      </c>
    </row>
    <row r="2142" spans="1:4" x14ac:dyDescent="0.2">
      <c r="A2142" s="728">
        <v>45342</v>
      </c>
      <c r="B2142" s="331">
        <f t="shared" si="40"/>
        <v>585835.32999999996</v>
      </c>
      <c r="C2142" s="331">
        <v>585635.32999999996</v>
      </c>
      <c r="D2142" s="479">
        <v>200</v>
      </c>
    </row>
    <row r="2143" spans="1:4" x14ac:dyDescent="0.2">
      <c r="A2143" s="728">
        <v>45343</v>
      </c>
      <c r="B2143" s="331">
        <f t="shared" si="40"/>
        <v>585835.32999999996</v>
      </c>
      <c r="C2143" s="331">
        <f t="shared" si="41"/>
        <v>585635.32999999996</v>
      </c>
      <c r="D2143" s="479">
        <v>200</v>
      </c>
    </row>
    <row r="2144" spans="1:4" x14ac:dyDescent="0.2">
      <c r="A2144" s="728">
        <v>45344</v>
      </c>
      <c r="B2144" s="331">
        <f t="shared" si="40"/>
        <v>587749.09</v>
      </c>
      <c r="C2144" s="331">
        <v>587549.09</v>
      </c>
      <c r="D2144" s="479">
        <v>200</v>
      </c>
    </row>
    <row r="2145" spans="1:4" x14ac:dyDescent="0.2">
      <c r="A2145" s="728">
        <v>45345</v>
      </c>
      <c r="B2145" s="331">
        <f t="shared" si="40"/>
        <v>587703.09</v>
      </c>
      <c r="C2145" s="331">
        <v>587503.09</v>
      </c>
      <c r="D2145" s="479">
        <v>200</v>
      </c>
    </row>
    <row r="2146" spans="1:4" x14ac:dyDescent="0.2">
      <c r="A2146" s="728">
        <v>45348</v>
      </c>
      <c r="B2146" s="331">
        <f t="shared" si="40"/>
        <v>553831.01</v>
      </c>
      <c r="C2146" s="331">
        <v>553631.01</v>
      </c>
      <c r="D2146" s="479">
        <v>200</v>
      </c>
    </row>
    <row r="2147" spans="1:4" x14ac:dyDescent="0.2">
      <c r="A2147" s="728">
        <v>45349</v>
      </c>
      <c r="B2147" s="331">
        <f t="shared" si="40"/>
        <v>553831.01</v>
      </c>
      <c r="C2147" s="331">
        <f t="shared" si="41"/>
        <v>553631.01</v>
      </c>
      <c r="D2147" s="479">
        <v>200</v>
      </c>
    </row>
    <row r="2148" spans="1:4" x14ac:dyDescent="0.2">
      <c r="A2148" s="728">
        <v>45350</v>
      </c>
      <c r="B2148" s="331">
        <f t="shared" si="40"/>
        <v>553831.01</v>
      </c>
      <c r="C2148" s="331">
        <f t="shared" si="41"/>
        <v>553631.01</v>
      </c>
      <c r="D2148" s="479">
        <v>200</v>
      </c>
    </row>
    <row r="2149" spans="1:4" x14ac:dyDescent="0.2">
      <c r="A2149" s="728">
        <v>45351</v>
      </c>
      <c r="B2149" s="331">
        <f t="shared" ref="B2149:B2192" si="42">C2149+D2149</f>
        <v>553927.51</v>
      </c>
      <c r="C2149" s="331">
        <v>553727.51</v>
      </c>
      <c r="D2149" s="479">
        <v>200</v>
      </c>
    </row>
    <row r="2150" spans="1:4" x14ac:dyDescent="0.2">
      <c r="A2150" s="728">
        <v>45352</v>
      </c>
      <c r="B2150" s="331">
        <f t="shared" si="42"/>
        <v>639044.65</v>
      </c>
      <c r="C2150" s="331">
        <v>638844.65</v>
      </c>
      <c r="D2150" s="479">
        <v>200</v>
      </c>
    </row>
    <row r="2151" spans="1:4" x14ac:dyDescent="0.2">
      <c r="A2151" s="728">
        <v>45355</v>
      </c>
      <c r="B2151" s="331">
        <f t="shared" si="42"/>
        <v>639286.35</v>
      </c>
      <c r="C2151" s="331">
        <v>639086.35</v>
      </c>
      <c r="D2151" s="479">
        <v>200</v>
      </c>
    </row>
    <row r="2152" spans="1:4" x14ac:dyDescent="0.2">
      <c r="A2152" s="728">
        <v>45356</v>
      </c>
      <c r="B2152" s="331">
        <f t="shared" si="42"/>
        <v>639286.35</v>
      </c>
      <c r="C2152" s="331">
        <f t="shared" si="41"/>
        <v>639086.35</v>
      </c>
      <c r="D2152" s="479">
        <v>200</v>
      </c>
    </row>
    <row r="2153" spans="1:4" x14ac:dyDescent="0.2">
      <c r="A2153" s="728">
        <v>45357</v>
      </c>
      <c r="B2153" s="331">
        <f t="shared" si="42"/>
        <v>639286.35</v>
      </c>
      <c r="C2153" s="331">
        <f t="shared" si="41"/>
        <v>639086.35</v>
      </c>
      <c r="D2153" s="479">
        <v>200</v>
      </c>
    </row>
    <row r="2154" spans="1:4" x14ac:dyDescent="0.2">
      <c r="A2154" s="728">
        <v>45358</v>
      </c>
      <c r="B2154" s="331">
        <f t="shared" si="42"/>
        <v>616931.9</v>
      </c>
      <c r="C2154" s="331">
        <v>616731.9</v>
      </c>
      <c r="D2154" s="479">
        <v>200</v>
      </c>
    </row>
    <row r="2155" spans="1:4" x14ac:dyDescent="0.2">
      <c r="A2155" s="728">
        <v>45359</v>
      </c>
      <c r="B2155" s="331">
        <f t="shared" si="42"/>
        <v>616931.9</v>
      </c>
      <c r="C2155" s="331">
        <f t="shared" si="41"/>
        <v>616731.9</v>
      </c>
      <c r="D2155" s="479">
        <v>200</v>
      </c>
    </row>
    <row r="2156" spans="1:4" x14ac:dyDescent="0.2">
      <c r="A2156" s="728">
        <v>45362</v>
      </c>
      <c r="B2156" s="331">
        <f t="shared" si="42"/>
        <v>616931.9</v>
      </c>
      <c r="C2156" s="331">
        <f t="shared" si="41"/>
        <v>616731.9</v>
      </c>
      <c r="D2156" s="479">
        <v>200</v>
      </c>
    </row>
    <row r="2157" spans="1:4" x14ac:dyDescent="0.2">
      <c r="A2157" s="728">
        <v>45363</v>
      </c>
      <c r="B2157" s="331">
        <f t="shared" si="42"/>
        <v>580620.53</v>
      </c>
      <c r="C2157" s="331">
        <v>580420.53</v>
      </c>
      <c r="D2157" s="479">
        <v>200</v>
      </c>
    </row>
    <row r="2158" spans="1:4" x14ac:dyDescent="0.2">
      <c r="A2158" s="728">
        <v>45364</v>
      </c>
      <c r="B2158" s="331">
        <f t="shared" si="42"/>
        <v>589303.47</v>
      </c>
      <c r="C2158" s="331">
        <v>589103.47</v>
      </c>
      <c r="D2158" s="479">
        <v>200</v>
      </c>
    </row>
    <row r="2159" spans="1:4" x14ac:dyDescent="0.2">
      <c r="A2159" s="728">
        <v>45365</v>
      </c>
      <c r="B2159" s="331">
        <f t="shared" si="42"/>
        <v>573439.49</v>
      </c>
      <c r="C2159" s="331">
        <v>573239.49</v>
      </c>
      <c r="D2159" s="479">
        <v>200</v>
      </c>
    </row>
    <row r="2160" spans="1:4" x14ac:dyDescent="0.2">
      <c r="A2160" s="728">
        <v>45366</v>
      </c>
      <c r="B2160" s="331">
        <f t="shared" si="42"/>
        <v>573173.1</v>
      </c>
      <c r="C2160" s="331">
        <v>572973.1</v>
      </c>
      <c r="D2160" s="479">
        <v>200</v>
      </c>
    </row>
    <row r="2161" spans="1:4" x14ac:dyDescent="0.2">
      <c r="A2161" s="728">
        <v>45369</v>
      </c>
      <c r="B2161" s="331">
        <f t="shared" si="42"/>
        <v>597404.67000000004</v>
      </c>
      <c r="C2161" s="331">
        <v>597204.67000000004</v>
      </c>
      <c r="D2161" s="479">
        <v>200</v>
      </c>
    </row>
    <row r="2162" spans="1:4" x14ac:dyDescent="0.2">
      <c r="A2162" s="728">
        <v>45370</v>
      </c>
      <c r="B2162" s="331">
        <f t="shared" si="42"/>
        <v>597454.31999999995</v>
      </c>
      <c r="C2162" s="331">
        <v>597254.31999999995</v>
      </c>
      <c r="D2162" s="479">
        <v>200</v>
      </c>
    </row>
    <row r="2163" spans="1:4" x14ac:dyDescent="0.2">
      <c r="A2163" s="728">
        <v>45371</v>
      </c>
      <c r="B2163" s="331">
        <f t="shared" si="42"/>
        <v>594610.32999999996</v>
      </c>
      <c r="C2163" s="331">
        <v>594410.32999999996</v>
      </c>
      <c r="D2163" s="479">
        <v>200</v>
      </c>
    </row>
    <row r="2164" spans="1:4" x14ac:dyDescent="0.2">
      <c r="A2164" s="728">
        <v>45372</v>
      </c>
      <c r="B2164" s="331">
        <f t="shared" si="42"/>
        <v>599459.89</v>
      </c>
      <c r="C2164" s="331">
        <v>599259.89</v>
      </c>
      <c r="D2164" s="479">
        <v>200</v>
      </c>
    </row>
    <row r="2165" spans="1:4" x14ac:dyDescent="0.2">
      <c r="A2165" s="728">
        <v>45373</v>
      </c>
      <c r="B2165" s="331">
        <f t="shared" si="42"/>
        <v>621376.56999999995</v>
      </c>
      <c r="C2165" s="331">
        <v>621176.56999999995</v>
      </c>
      <c r="D2165" s="479">
        <v>200</v>
      </c>
    </row>
    <row r="2166" spans="1:4" x14ac:dyDescent="0.2">
      <c r="A2166" s="728">
        <v>45376</v>
      </c>
      <c r="B2166" s="331">
        <f t="shared" si="42"/>
        <v>639731.09</v>
      </c>
      <c r="C2166" s="331">
        <v>639531.09</v>
      </c>
      <c r="D2166" s="479">
        <v>200</v>
      </c>
    </row>
    <row r="2167" spans="1:4" x14ac:dyDescent="0.2">
      <c r="A2167" s="728">
        <v>45377</v>
      </c>
      <c r="B2167" s="331">
        <f t="shared" si="42"/>
        <v>603296.46</v>
      </c>
      <c r="C2167" s="331">
        <v>603096.46</v>
      </c>
      <c r="D2167" s="479">
        <v>200</v>
      </c>
    </row>
    <row r="2168" spans="1:4" x14ac:dyDescent="0.2">
      <c r="A2168" s="728">
        <v>45378</v>
      </c>
      <c r="B2168" s="331">
        <f t="shared" si="42"/>
        <v>602128.03</v>
      </c>
      <c r="C2168" s="331">
        <v>601928.03</v>
      </c>
      <c r="D2168" s="479">
        <v>200</v>
      </c>
    </row>
    <row r="2169" spans="1:4" x14ac:dyDescent="0.2">
      <c r="A2169" s="728">
        <v>45379</v>
      </c>
      <c r="B2169" s="331">
        <f t="shared" si="42"/>
        <v>610877.03</v>
      </c>
      <c r="C2169" s="331">
        <v>610677.03</v>
      </c>
      <c r="D2169" s="479">
        <v>200</v>
      </c>
    </row>
    <row r="2170" spans="1:4" x14ac:dyDescent="0.2">
      <c r="A2170" s="728">
        <v>45380</v>
      </c>
      <c r="B2170" s="331">
        <f t="shared" si="42"/>
        <v>629664.21</v>
      </c>
      <c r="C2170" s="331">
        <v>629464.21</v>
      </c>
      <c r="D2170" s="479">
        <v>200</v>
      </c>
    </row>
    <row r="2171" spans="1:4" x14ac:dyDescent="0.2">
      <c r="A2171" s="728">
        <v>45383</v>
      </c>
      <c r="B2171" s="331">
        <f t="shared" si="42"/>
        <v>629664.21</v>
      </c>
      <c r="C2171" s="331">
        <f t="shared" ref="C2171:C2228" si="43">C2170</f>
        <v>629464.21</v>
      </c>
      <c r="D2171" s="479">
        <v>200</v>
      </c>
    </row>
    <row r="2172" spans="1:4" x14ac:dyDescent="0.2">
      <c r="A2172" s="728">
        <v>45384</v>
      </c>
      <c r="B2172" s="331">
        <f t="shared" si="42"/>
        <v>629664.21</v>
      </c>
      <c r="C2172" s="331">
        <f t="shared" si="43"/>
        <v>629464.21</v>
      </c>
      <c r="D2172" s="479">
        <v>200</v>
      </c>
    </row>
    <row r="2173" spans="1:4" x14ac:dyDescent="0.2">
      <c r="A2173" s="728">
        <v>45385</v>
      </c>
      <c r="B2173" s="331">
        <f t="shared" si="42"/>
        <v>629904.21</v>
      </c>
      <c r="C2173" s="331">
        <v>629704.21</v>
      </c>
      <c r="D2173" s="479">
        <v>200</v>
      </c>
    </row>
    <row r="2174" spans="1:4" x14ac:dyDescent="0.2">
      <c r="A2174" s="728">
        <v>45386</v>
      </c>
      <c r="B2174" s="331">
        <f t="shared" si="42"/>
        <v>629904.21</v>
      </c>
      <c r="C2174" s="331">
        <f t="shared" si="43"/>
        <v>629704.21</v>
      </c>
      <c r="D2174" s="479">
        <v>200</v>
      </c>
    </row>
    <row r="2175" spans="1:4" x14ac:dyDescent="0.2">
      <c r="A2175" s="728">
        <v>45387</v>
      </c>
      <c r="B2175" s="331">
        <f t="shared" si="42"/>
        <v>630020.39</v>
      </c>
      <c r="C2175" s="331">
        <v>629820.39</v>
      </c>
      <c r="D2175" s="479">
        <v>200</v>
      </c>
    </row>
    <row r="2176" spans="1:4" x14ac:dyDescent="0.2">
      <c r="A2176" s="728">
        <v>45390</v>
      </c>
      <c r="B2176" s="331">
        <f t="shared" si="42"/>
        <v>630714.61</v>
      </c>
      <c r="C2176" s="331">
        <v>630514.61</v>
      </c>
      <c r="D2176" s="479">
        <v>200</v>
      </c>
    </row>
    <row r="2177" spans="1:4" x14ac:dyDescent="0.2">
      <c r="A2177" s="728">
        <v>45391</v>
      </c>
      <c r="B2177" s="331">
        <f t="shared" si="42"/>
        <v>573875.92000000004</v>
      </c>
      <c r="C2177" s="331">
        <v>573675.92000000004</v>
      </c>
      <c r="D2177" s="479">
        <v>200</v>
      </c>
    </row>
    <row r="2178" spans="1:4" x14ac:dyDescent="0.2">
      <c r="A2178" s="728">
        <v>45392</v>
      </c>
      <c r="B2178" s="331">
        <f t="shared" si="42"/>
        <v>590385.61</v>
      </c>
      <c r="C2178" s="331">
        <v>590185.61</v>
      </c>
      <c r="D2178" s="479">
        <v>200</v>
      </c>
    </row>
    <row r="2179" spans="1:4" x14ac:dyDescent="0.2">
      <c r="A2179" s="728">
        <v>45393</v>
      </c>
      <c r="B2179" s="331">
        <f t="shared" si="42"/>
        <v>590798.61</v>
      </c>
      <c r="C2179" s="331">
        <v>590598.61</v>
      </c>
      <c r="D2179" s="479">
        <v>200</v>
      </c>
    </row>
    <row r="2180" spans="1:4" x14ac:dyDescent="0.2">
      <c r="A2180" s="728">
        <v>45394</v>
      </c>
      <c r="B2180" s="331">
        <f t="shared" si="42"/>
        <v>590447.57999999996</v>
      </c>
      <c r="C2180" s="331">
        <v>590247.57999999996</v>
      </c>
      <c r="D2180" s="479">
        <v>200</v>
      </c>
    </row>
    <row r="2181" spans="1:4" x14ac:dyDescent="0.2">
      <c r="A2181" s="728">
        <v>45397</v>
      </c>
      <c r="B2181" s="331">
        <f t="shared" si="42"/>
        <v>589784.82999999996</v>
      </c>
      <c r="C2181" s="331">
        <v>589584.82999999996</v>
      </c>
      <c r="D2181" s="479">
        <v>200</v>
      </c>
    </row>
    <row r="2182" spans="1:4" x14ac:dyDescent="0.2">
      <c r="A2182" s="728">
        <v>45398</v>
      </c>
      <c r="B2182" s="331">
        <f t="shared" si="42"/>
        <v>591275.29</v>
      </c>
      <c r="C2182" s="331">
        <v>591075.29</v>
      </c>
      <c r="D2182" s="479">
        <v>200</v>
      </c>
    </row>
    <row r="2183" spans="1:4" x14ac:dyDescent="0.2">
      <c r="A2183" s="728">
        <v>45399</v>
      </c>
      <c r="B2183" s="331">
        <f t="shared" si="42"/>
        <v>591604.29</v>
      </c>
      <c r="C2183" s="331">
        <v>591404.29</v>
      </c>
      <c r="D2183" s="479">
        <v>200</v>
      </c>
    </row>
    <row r="2184" spans="1:4" x14ac:dyDescent="0.2">
      <c r="A2184" s="728">
        <v>45400</v>
      </c>
      <c r="B2184" s="331">
        <f t="shared" si="42"/>
        <v>595308.17000000004</v>
      </c>
      <c r="C2184" s="331">
        <v>595108.17000000004</v>
      </c>
      <c r="D2184" s="479">
        <v>200</v>
      </c>
    </row>
    <row r="2185" spans="1:4" x14ac:dyDescent="0.2">
      <c r="A2185" s="728">
        <v>45401</v>
      </c>
      <c r="B2185" s="331">
        <f t="shared" si="42"/>
        <v>595308.17000000004</v>
      </c>
      <c r="C2185" s="331">
        <f t="shared" si="43"/>
        <v>595108.17000000004</v>
      </c>
      <c r="D2185" s="479">
        <v>200</v>
      </c>
    </row>
    <row r="2186" spans="1:4" x14ac:dyDescent="0.2">
      <c r="A2186" s="728">
        <v>45404</v>
      </c>
      <c r="B2186" s="331">
        <f t="shared" si="42"/>
        <v>592390.28</v>
      </c>
      <c r="C2186" s="331">
        <v>592190.28</v>
      </c>
      <c r="D2186" s="479">
        <v>200</v>
      </c>
    </row>
    <row r="2187" spans="1:4" x14ac:dyDescent="0.2">
      <c r="A2187" s="728">
        <v>45405</v>
      </c>
      <c r="B2187" s="331">
        <f t="shared" si="42"/>
        <v>554571.62</v>
      </c>
      <c r="C2187" s="331">
        <v>554371.62</v>
      </c>
      <c r="D2187" s="479">
        <v>200</v>
      </c>
    </row>
    <row r="2188" spans="1:4" x14ac:dyDescent="0.2">
      <c r="A2188" s="728">
        <v>45406</v>
      </c>
      <c r="B2188" s="331">
        <f t="shared" si="42"/>
        <v>555118.31999999995</v>
      </c>
      <c r="C2188" s="331">
        <v>554918.31999999995</v>
      </c>
      <c r="D2188" s="479">
        <v>200</v>
      </c>
    </row>
    <row r="2189" spans="1:4" x14ac:dyDescent="0.2">
      <c r="A2189" s="728">
        <v>45407</v>
      </c>
      <c r="B2189" s="331">
        <f t="shared" si="42"/>
        <v>545445.69999999995</v>
      </c>
      <c r="C2189" s="331">
        <v>545245.69999999995</v>
      </c>
      <c r="D2189" s="479">
        <v>200</v>
      </c>
    </row>
    <row r="2190" spans="1:4" x14ac:dyDescent="0.2">
      <c r="A2190" s="728">
        <v>45408</v>
      </c>
      <c r="B2190" s="331">
        <f t="shared" si="42"/>
        <v>557177.62</v>
      </c>
      <c r="C2190" s="331">
        <v>556977.62</v>
      </c>
      <c r="D2190" s="479">
        <v>200</v>
      </c>
    </row>
    <row r="2191" spans="1:4" x14ac:dyDescent="0.2">
      <c r="A2191" s="728">
        <v>45411</v>
      </c>
      <c r="B2191" s="331">
        <f t="shared" si="42"/>
        <v>557177.62</v>
      </c>
      <c r="C2191" s="331">
        <f t="shared" si="43"/>
        <v>556977.62</v>
      </c>
      <c r="D2191" s="479">
        <v>200</v>
      </c>
    </row>
    <row r="2192" spans="1:4" x14ac:dyDescent="0.2">
      <c r="A2192" s="728">
        <v>45412</v>
      </c>
      <c r="B2192" s="331">
        <f t="shared" si="42"/>
        <v>557177.62</v>
      </c>
      <c r="C2192" s="331">
        <f t="shared" si="43"/>
        <v>556977.62</v>
      </c>
      <c r="D2192" s="479">
        <v>200</v>
      </c>
    </row>
    <row r="2193" spans="1:4" x14ac:dyDescent="0.2">
      <c r="A2193" s="728">
        <v>45413</v>
      </c>
      <c r="B2193" s="331">
        <f t="shared" ref="B2193:B2219" si="44">C2193+D2193</f>
        <v>557177.62</v>
      </c>
      <c r="C2193" s="331">
        <f t="shared" si="43"/>
        <v>556977.62</v>
      </c>
      <c r="D2193" s="479">
        <v>200</v>
      </c>
    </row>
    <row r="2194" spans="1:4" x14ac:dyDescent="0.2">
      <c r="A2194" s="728">
        <v>45414</v>
      </c>
      <c r="B2194" s="331">
        <f t="shared" si="44"/>
        <v>553656.31999999995</v>
      </c>
      <c r="C2194" s="331">
        <v>553456.31999999995</v>
      </c>
      <c r="D2194" s="479">
        <v>200</v>
      </c>
    </row>
    <row r="2195" spans="1:4" x14ac:dyDescent="0.2">
      <c r="A2195" s="728">
        <v>45415</v>
      </c>
      <c r="B2195" s="331">
        <f t="shared" si="44"/>
        <v>576179.18000000005</v>
      </c>
      <c r="C2195" s="331">
        <v>575979.18000000005</v>
      </c>
      <c r="D2195" s="479">
        <v>200</v>
      </c>
    </row>
    <row r="2196" spans="1:4" x14ac:dyDescent="0.2">
      <c r="A2196" s="728">
        <v>45418</v>
      </c>
      <c r="B2196" s="331">
        <f t="shared" si="44"/>
        <v>561372.46</v>
      </c>
      <c r="C2196" s="331">
        <v>561172.46</v>
      </c>
      <c r="D2196" s="479">
        <v>200</v>
      </c>
    </row>
    <row r="2197" spans="1:4" x14ac:dyDescent="0.2">
      <c r="A2197" s="728">
        <v>45419</v>
      </c>
      <c r="B2197" s="331">
        <f t="shared" si="44"/>
        <v>524111.97</v>
      </c>
      <c r="C2197" s="331">
        <v>523911.97</v>
      </c>
      <c r="D2197" s="479">
        <v>200</v>
      </c>
    </row>
    <row r="2198" spans="1:4" x14ac:dyDescent="0.2">
      <c r="A2198" s="728">
        <v>45420</v>
      </c>
      <c r="B2198" s="331">
        <f t="shared" si="44"/>
        <v>524111.97</v>
      </c>
      <c r="C2198" s="331">
        <f t="shared" si="43"/>
        <v>523911.97</v>
      </c>
      <c r="D2198" s="479">
        <v>200</v>
      </c>
    </row>
    <row r="2199" spans="1:4" x14ac:dyDescent="0.2">
      <c r="A2199" s="728">
        <v>45421</v>
      </c>
      <c r="B2199" s="331">
        <f t="shared" si="44"/>
        <v>518915.42</v>
      </c>
      <c r="C2199" s="331">
        <v>518715.42</v>
      </c>
      <c r="D2199" s="479">
        <v>200</v>
      </c>
    </row>
    <row r="2200" spans="1:4" x14ac:dyDescent="0.2">
      <c r="A2200" s="728">
        <v>45422</v>
      </c>
      <c r="B2200" s="331">
        <f t="shared" si="44"/>
        <v>518564.39</v>
      </c>
      <c r="C2200" s="331">
        <v>518364.39</v>
      </c>
      <c r="D2200" s="479">
        <v>200</v>
      </c>
    </row>
    <row r="2201" spans="1:4" x14ac:dyDescent="0.2">
      <c r="A2201" s="728">
        <v>45425</v>
      </c>
      <c r="B2201" s="331">
        <f t="shared" si="44"/>
        <v>518564.39</v>
      </c>
      <c r="C2201" s="331">
        <f t="shared" si="43"/>
        <v>518364.39</v>
      </c>
      <c r="D2201" s="479">
        <v>200</v>
      </c>
    </row>
    <row r="2202" spans="1:4" x14ac:dyDescent="0.2">
      <c r="A2202" s="728">
        <v>45426</v>
      </c>
      <c r="B2202" s="331">
        <f t="shared" si="44"/>
        <v>518564.39</v>
      </c>
      <c r="C2202" s="331">
        <f t="shared" si="43"/>
        <v>518364.39</v>
      </c>
      <c r="D2202" s="479">
        <v>200</v>
      </c>
    </row>
    <row r="2203" spans="1:4" x14ac:dyDescent="0.2">
      <c r="A2203" s="728">
        <v>45427</v>
      </c>
      <c r="B2203" s="331">
        <f t="shared" si="44"/>
        <v>518615.52</v>
      </c>
      <c r="C2203" s="331">
        <v>518415.52</v>
      </c>
      <c r="D2203" s="479">
        <v>200</v>
      </c>
    </row>
    <row r="2204" spans="1:4" x14ac:dyDescent="0.2">
      <c r="A2204" s="728">
        <v>45428</v>
      </c>
      <c r="B2204" s="331">
        <f t="shared" si="44"/>
        <v>521662.04</v>
      </c>
      <c r="C2204" s="331">
        <v>521462.04</v>
      </c>
      <c r="D2204" s="479">
        <v>200</v>
      </c>
    </row>
    <row r="2205" spans="1:4" x14ac:dyDescent="0.2">
      <c r="A2205" s="728">
        <v>45429</v>
      </c>
      <c r="B2205" s="331">
        <f t="shared" si="44"/>
        <v>555436.06999999995</v>
      </c>
      <c r="C2205" s="331">
        <v>555236.06999999995</v>
      </c>
      <c r="D2205" s="479">
        <v>200</v>
      </c>
    </row>
    <row r="2206" spans="1:4" x14ac:dyDescent="0.2">
      <c r="A2206" s="728">
        <v>45432</v>
      </c>
      <c r="B2206" s="331">
        <f t="shared" si="44"/>
        <v>553235.18000000005</v>
      </c>
      <c r="C2206" s="331">
        <v>553035.18000000005</v>
      </c>
      <c r="D2206" s="479">
        <v>200</v>
      </c>
    </row>
    <row r="2207" spans="1:4" x14ac:dyDescent="0.2">
      <c r="A2207" s="728">
        <v>45433</v>
      </c>
      <c r="B2207" s="331">
        <f t="shared" si="44"/>
        <v>516429.69</v>
      </c>
      <c r="C2207" s="331">
        <v>516229.69</v>
      </c>
      <c r="D2207" s="479">
        <v>200</v>
      </c>
    </row>
    <row r="2208" spans="1:4" x14ac:dyDescent="0.2">
      <c r="A2208" s="728">
        <v>45434</v>
      </c>
      <c r="B2208" s="331">
        <f t="shared" si="44"/>
        <v>574828.56999999995</v>
      </c>
      <c r="C2208" s="331">
        <v>574628.56999999995</v>
      </c>
      <c r="D2208" s="479">
        <v>200</v>
      </c>
    </row>
    <row r="2209" spans="1:5" x14ac:dyDescent="0.2">
      <c r="A2209" s="728">
        <v>45435</v>
      </c>
      <c r="B2209" s="331">
        <f t="shared" si="44"/>
        <v>574828.56999999995</v>
      </c>
      <c r="C2209" s="331">
        <f t="shared" si="43"/>
        <v>574628.56999999995</v>
      </c>
      <c r="D2209" s="479">
        <v>200</v>
      </c>
    </row>
    <row r="2210" spans="1:5" x14ac:dyDescent="0.2">
      <c r="A2210" s="728">
        <v>45436</v>
      </c>
      <c r="B2210" s="331">
        <f t="shared" si="44"/>
        <v>574828.56999999995</v>
      </c>
      <c r="C2210" s="331">
        <f t="shared" si="43"/>
        <v>574628.56999999995</v>
      </c>
      <c r="D2210" s="479">
        <v>200</v>
      </c>
    </row>
    <row r="2211" spans="1:5" x14ac:dyDescent="0.2">
      <c r="A2211" s="728">
        <v>45439</v>
      </c>
      <c r="B2211" s="331">
        <f t="shared" si="44"/>
        <v>574828.56999999995</v>
      </c>
      <c r="C2211" s="331">
        <f t="shared" si="43"/>
        <v>574628.56999999995</v>
      </c>
      <c r="D2211" s="479">
        <v>200</v>
      </c>
    </row>
    <row r="2212" spans="1:5" x14ac:dyDescent="0.2">
      <c r="A2212" s="728">
        <v>45440</v>
      </c>
      <c r="B2212" s="331">
        <f t="shared" si="44"/>
        <v>574828.56999999995</v>
      </c>
      <c r="C2212" s="331">
        <f t="shared" si="43"/>
        <v>574628.56999999995</v>
      </c>
      <c r="D2212" s="479">
        <v>200</v>
      </c>
    </row>
    <row r="2213" spans="1:5" x14ac:dyDescent="0.2">
      <c r="A2213" s="728">
        <v>45441</v>
      </c>
      <c r="B2213" s="331">
        <f t="shared" si="44"/>
        <v>574797.69999999995</v>
      </c>
      <c r="C2213" s="331">
        <v>574597.69999999995</v>
      </c>
      <c r="D2213" s="479">
        <v>200</v>
      </c>
    </row>
    <row r="2214" spans="1:5" x14ac:dyDescent="0.2">
      <c r="A2214" s="728">
        <v>45442</v>
      </c>
      <c r="B2214" s="331">
        <f t="shared" si="44"/>
        <v>574797.69999999995</v>
      </c>
      <c r="C2214" s="331">
        <f t="shared" si="43"/>
        <v>574597.69999999995</v>
      </c>
      <c r="D2214" s="479">
        <v>200</v>
      </c>
    </row>
    <row r="2215" spans="1:5" x14ac:dyDescent="0.2">
      <c r="A2215" s="728">
        <v>45443</v>
      </c>
      <c r="B2215" s="331">
        <f t="shared" si="44"/>
        <v>581217.82999999996</v>
      </c>
      <c r="C2215" s="331">
        <v>581017.82999999996</v>
      </c>
      <c r="D2215" s="479">
        <v>200</v>
      </c>
    </row>
    <row r="2216" spans="1:5" x14ac:dyDescent="0.2">
      <c r="A2216" s="728">
        <v>45446</v>
      </c>
      <c r="B2216" s="331">
        <f t="shared" si="44"/>
        <v>581797.82999999996</v>
      </c>
      <c r="C2216" s="331">
        <v>581597.82999999996</v>
      </c>
      <c r="D2216" s="479">
        <v>200</v>
      </c>
    </row>
    <row r="2217" spans="1:5" x14ac:dyDescent="0.2">
      <c r="A2217" s="728">
        <v>45447</v>
      </c>
      <c r="B2217" s="331">
        <f t="shared" si="44"/>
        <v>581797.82999999996</v>
      </c>
      <c r="C2217" s="331">
        <f t="shared" si="43"/>
        <v>581597.82999999996</v>
      </c>
      <c r="D2217" s="479">
        <v>200</v>
      </c>
    </row>
    <row r="2218" spans="1:5" x14ac:dyDescent="0.2">
      <c r="A2218" s="728">
        <v>45448</v>
      </c>
      <c r="B2218" s="331">
        <f t="shared" si="44"/>
        <v>547045.46</v>
      </c>
      <c r="C2218" s="331">
        <v>546845.46</v>
      </c>
      <c r="D2218" s="479">
        <v>200</v>
      </c>
    </row>
    <row r="2219" spans="1:5" x14ac:dyDescent="0.2">
      <c r="A2219" s="728">
        <v>45449</v>
      </c>
      <c r="B2219" s="331">
        <f t="shared" si="44"/>
        <v>547045.46</v>
      </c>
      <c r="C2219" s="331">
        <f t="shared" si="43"/>
        <v>546845.46</v>
      </c>
      <c r="D2219" s="479">
        <v>200</v>
      </c>
    </row>
    <row r="2220" spans="1:5" x14ac:dyDescent="0.2">
      <c r="A2220" s="728">
        <v>45450</v>
      </c>
      <c r="B2220" s="331">
        <f>C2220+D2220+E2220</f>
        <v>545941.55000000005</v>
      </c>
      <c r="C2220" s="331">
        <v>295741.55</v>
      </c>
      <c r="D2220" s="479">
        <v>200</v>
      </c>
      <c r="E2220" s="589">
        <v>250000</v>
      </c>
    </row>
    <row r="2221" spans="1:5" x14ac:dyDescent="0.2">
      <c r="A2221" s="728">
        <v>45453</v>
      </c>
      <c r="B2221" s="331">
        <f t="shared" ref="B2221:B2279" si="45">C2221+D2221+E2221</f>
        <v>546153.55000000005</v>
      </c>
      <c r="C2221" s="331">
        <v>295953.55</v>
      </c>
      <c r="D2221" s="479">
        <v>200</v>
      </c>
      <c r="E2221" s="589">
        <v>250000</v>
      </c>
    </row>
    <row r="2222" spans="1:5" x14ac:dyDescent="0.2">
      <c r="A2222" s="728">
        <v>45454</v>
      </c>
      <c r="B2222" s="331">
        <f t="shared" si="45"/>
        <v>546153.55000000005</v>
      </c>
      <c r="C2222" s="331">
        <f>C2221</f>
        <v>295953.55</v>
      </c>
      <c r="D2222" s="479">
        <v>200</v>
      </c>
      <c r="E2222" s="589">
        <v>250000</v>
      </c>
    </row>
    <row r="2223" spans="1:5" x14ac:dyDescent="0.2">
      <c r="A2223" s="728">
        <v>45455</v>
      </c>
      <c r="B2223" s="331">
        <f t="shared" si="45"/>
        <v>545553.55000000005</v>
      </c>
      <c r="C2223" s="331">
        <v>295353.55</v>
      </c>
      <c r="D2223" s="479">
        <v>200</v>
      </c>
      <c r="E2223" s="589">
        <v>250000</v>
      </c>
    </row>
    <row r="2224" spans="1:5" x14ac:dyDescent="0.2">
      <c r="A2224" s="728">
        <v>45456</v>
      </c>
      <c r="B2224" s="331">
        <f t="shared" si="45"/>
        <v>548862.66999999993</v>
      </c>
      <c r="C2224" s="331">
        <v>298662.67</v>
      </c>
      <c r="D2224" s="479">
        <v>200</v>
      </c>
      <c r="E2224" s="589">
        <v>250000</v>
      </c>
    </row>
    <row r="2225" spans="1:5" x14ac:dyDescent="0.2">
      <c r="A2225" s="728">
        <v>45457</v>
      </c>
      <c r="B2225" s="331">
        <f t="shared" si="45"/>
        <v>549142.23</v>
      </c>
      <c r="C2225" s="331">
        <v>298942.23</v>
      </c>
      <c r="D2225" s="479">
        <v>200</v>
      </c>
      <c r="E2225" s="589">
        <v>250000</v>
      </c>
    </row>
    <row r="2226" spans="1:5" x14ac:dyDescent="0.2">
      <c r="A2226" s="728">
        <v>45460</v>
      </c>
      <c r="B2226" s="331">
        <f t="shared" si="45"/>
        <v>549142.23</v>
      </c>
      <c r="C2226" s="331">
        <f t="shared" si="43"/>
        <v>298942.23</v>
      </c>
      <c r="D2226" s="479">
        <v>200</v>
      </c>
      <c r="E2226" s="589">
        <v>250000</v>
      </c>
    </row>
    <row r="2227" spans="1:5" x14ac:dyDescent="0.2">
      <c r="A2227" s="728">
        <v>45461</v>
      </c>
      <c r="B2227" s="331">
        <f t="shared" si="45"/>
        <v>514004.18</v>
      </c>
      <c r="C2227" s="331">
        <v>263804.18</v>
      </c>
      <c r="D2227" s="479">
        <v>200</v>
      </c>
      <c r="E2227" s="589">
        <v>250000</v>
      </c>
    </row>
    <row r="2228" spans="1:5" x14ac:dyDescent="0.2">
      <c r="A2228" s="728">
        <v>45462</v>
      </c>
      <c r="B2228" s="331">
        <f t="shared" si="45"/>
        <v>514004.18</v>
      </c>
      <c r="C2228" s="331">
        <f t="shared" si="43"/>
        <v>263804.18</v>
      </c>
      <c r="D2228" s="479">
        <v>200</v>
      </c>
      <c r="E2228" s="589">
        <v>250000</v>
      </c>
    </row>
    <row r="2229" spans="1:5" x14ac:dyDescent="0.2">
      <c r="A2229" s="728">
        <v>45463</v>
      </c>
      <c r="B2229" s="331">
        <f t="shared" si="45"/>
        <v>511182.78</v>
      </c>
      <c r="C2229" s="331">
        <v>260982.78</v>
      </c>
      <c r="D2229" s="479">
        <v>200</v>
      </c>
      <c r="E2229" s="589">
        <v>250000</v>
      </c>
    </row>
    <row r="2230" spans="1:5" x14ac:dyDescent="0.2">
      <c r="A2230" s="728">
        <v>45464</v>
      </c>
      <c r="B2230" s="331">
        <f t="shared" si="45"/>
        <v>510853.66000000003</v>
      </c>
      <c r="C2230" s="331">
        <v>260653.66</v>
      </c>
      <c r="D2230" s="479">
        <v>200</v>
      </c>
      <c r="E2230" s="589">
        <v>250000</v>
      </c>
    </row>
    <row r="2231" spans="1:5" x14ac:dyDescent="0.2">
      <c r="A2231" s="728">
        <v>45467</v>
      </c>
      <c r="B2231" s="331">
        <f t="shared" si="45"/>
        <v>507819.97</v>
      </c>
      <c r="C2231" s="331">
        <v>257619.97</v>
      </c>
      <c r="D2231" s="479">
        <v>200</v>
      </c>
      <c r="E2231" s="589">
        <v>250000</v>
      </c>
    </row>
    <row r="2232" spans="1:5" x14ac:dyDescent="0.2">
      <c r="A2232" s="728">
        <v>45468</v>
      </c>
      <c r="B2232" s="331">
        <f t="shared" si="45"/>
        <v>507789.1</v>
      </c>
      <c r="C2232" s="331">
        <v>257589.1</v>
      </c>
      <c r="D2232" s="479">
        <v>200</v>
      </c>
      <c r="E2232" s="589">
        <v>250000</v>
      </c>
    </row>
    <row r="2233" spans="1:5" x14ac:dyDescent="0.2">
      <c r="A2233" s="728">
        <v>45469</v>
      </c>
      <c r="B2233" s="364">
        <f t="shared" si="45"/>
        <v>507391.61</v>
      </c>
      <c r="C2233" s="331">
        <v>257191.61</v>
      </c>
      <c r="D2233" s="479">
        <v>200</v>
      </c>
      <c r="E2233" s="589">
        <v>250000</v>
      </c>
    </row>
    <row r="2234" spans="1:5" x14ac:dyDescent="0.2">
      <c r="A2234" s="728">
        <v>45470</v>
      </c>
      <c r="B2234" s="331">
        <f t="shared" si="45"/>
        <v>518580.22</v>
      </c>
      <c r="C2234" s="331">
        <v>268380.21999999997</v>
      </c>
      <c r="D2234" s="479">
        <v>200</v>
      </c>
      <c r="E2234" s="589">
        <v>250000</v>
      </c>
    </row>
    <row r="2235" spans="1:5" x14ac:dyDescent="0.2">
      <c r="A2235" s="728">
        <v>45471</v>
      </c>
      <c r="B2235" s="331">
        <f t="shared" si="45"/>
        <v>550978.54</v>
      </c>
      <c r="C2235" s="331">
        <v>300106.05</v>
      </c>
      <c r="D2235" s="479">
        <v>200</v>
      </c>
      <c r="E2235" s="589">
        <v>250672.49</v>
      </c>
    </row>
    <row r="2236" spans="1:5" x14ac:dyDescent="0.2">
      <c r="A2236" s="728">
        <v>45474</v>
      </c>
      <c r="B2236" s="331">
        <f t="shared" si="45"/>
        <v>517674.89</v>
      </c>
      <c r="C2236" s="331">
        <v>266802.40000000002</v>
      </c>
      <c r="D2236" s="479">
        <v>200</v>
      </c>
      <c r="E2236" s="589">
        <v>250672.49</v>
      </c>
    </row>
    <row r="2237" spans="1:5" x14ac:dyDescent="0.2">
      <c r="A2237" s="728">
        <v>45475</v>
      </c>
      <c r="B2237" s="331">
        <f t="shared" si="45"/>
        <v>517674.89</v>
      </c>
      <c r="C2237" s="331">
        <f>C2236</f>
        <v>266802.40000000002</v>
      </c>
      <c r="D2237" s="479">
        <v>200</v>
      </c>
      <c r="E2237" s="589">
        <v>250672.49</v>
      </c>
    </row>
    <row r="2238" spans="1:5" x14ac:dyDescent="0.2">
      <c r="A2238" s="728">
        <v>45476</v>
      </c>
      <c r="B2238" s="331">
        <f t="shared" si="45"/>
        <v>505993.19999999995</v>
      </c>
      <c r="C2238" s="331">
        <v>255120.71</v>
      </c>
      <c r="D2238" s="479">
        <v>200</v>
      </c>
      <c r="E2238" s="589">
        <v>250672.49</v>
      </c>
    </row>
    <row r="2239" spans="1:5" x14ac:dyDescent="0.2">
      <c r="A2239" s="728">
        <v>45477</v>
      </c>
      <c r="B2239" s="331">
        <f t="shared" si="45"/>
        <v>505993.19999999995</v>
      </c>
      <c r="C2239" s="331">
        <f t="shared" ref="C2239:C2279" si="46">C2238</f>
        <v>255120.71</v>
      </c>
      <c r="D2239" s="479">
        <v>200</v>
      </c>
      <c r="E2239" s="589">
        <v>250672.49</v>
      </c>
    </row>
    <row r="2240" spans="1:5" x14ac:dyDescent="0.2">
      <c r="A2240" s="728">
        <v>45478</v>
      </c>
      <c r="B2240" s="331">
        <f t="shared" si="45"/>
        <v>506811.4</v>
      </c>
      <c r="C2240" s="331">
        <v>255938.91</v>
      </c>
      <c r="D2240" s="479">
        <v>200</v>
      </c>
      <c r="E2240" s="589">
        <v>250672.49</v>
      </c>
    </row>
    <row r="2241" spans="1:5" x14ac:dyDescent="0.2">
      <c r="A2241" s="728">
        <v>45481</v>
      </c>
      <c r="B2241" s="331">
        <f t="shared" si="45"/>
        <v>506811.4</v>
      </c>
      <c r="C2241" s="331">
        <f t="shared" si="46"/>
        <v>255938.91</v>
      </c>
      <c r="D2241" s="479">
        <v>200</v>
      </c>
      <c r="E2241" s="589">
        <v>250672.49</v>
      </c>
    </row>
    <row r="2242" spans="1:5" x14ac:dyDescent="0.2">
      <c r="A2242" s="728">
        <v>45482</v>
      </c>
      <c r="B2242" s="331">
        <f t="shared" si="45"/>
        <v>507710.06</v>
      </c>
      <c r="C2242" s="331">
        <v>256837.57</v>
      </c>
      <c r="D2242" s="479">
        <v>200</v>
      </c>
      <c r="E2242" s="589">
        <v>250672.49</v>
      </c>
    </row>
    <row r="2243" spans="1:5" x14ac:dyDescent="0.2">
      <c r="A2243" s="728">
        <v>45483</v>
      </c>
      <c r="B2243" s="331">
        <f t="shared" si="45"/>
        <v>507810.06</v>
      </c>
      <c r="C2243" s="331">
        <v>256937.57</v>
      </c>
      <c r="D2243" s="479">
        <v>200</v>
      </c>
      <c r="E2243" s="589">
        <v>250672.49</v>
      </c>
    </row>
    <row r="2244" spans="1:5" x14ac:dyDescent="0.2">
      <c r="A2244" s="728">
        <v>45484</v>
      </c>
      <c r="B2244" s="331">
        <f t="shared" si="45"/>
        <v>507906.56</v>
      </c>
      <c r="C2244" s="331">
        <v>257034.07</v>
      </c>
      <c r="D2244" s="479">
        <v>200</v>
      </c>
      <c r="E2244" s="589">
        <v>250672.49</v>
      </c>
    </row>
    <row r="2245" spans="1:5" x14ac:dyDescent="0.2">
      <c r="A2245" s="728">
        <v>45485</v>
      </c>
      <c r="B2245" s="331">
        <f t="shared" si="45"/>
        <v>508693.88</v>
      </c>
      <c r="C2245" s="331">
        <v>257821.39</v>
      </c>
      <c r="D2245" s="479">
        <v>200</v>
      </c>
      <c r="E2245" s="589">
        <v>250672.49</v>
      </c>
    </row>
    <row r="2246" spans="1:5" x14ac:dyDescent="0.2">
      <c r="A2246" s="728">
        <v>45488</v>
      </c>
      <c r="B2246" s="331">
        <f t="shared" si="45"/>
        <v>509039.89</v>
      </c>
      <c r="C2246" s="331">
        <v>258167.4</v>
      </c>
      <c r="D2246" s="479">
        <v>200</v>
      </c>
      <c r="E2246" s="589">
        <v>250672.49</v>
      </c>
    </row>
    <row r="2247" spans="1:5" x14ac:dyDescent="0.2">
      <c r="A2247" s="728">
        <v>45489</v>
      </c>
      <c r="B2247" s="331">
        <f t="shared" si="45"/>
        <v>480741.11</v>
      </c>
      <c r="C2247" s="331">
        <v>229868.62</v>
      </c>
      <c r="D2247" s="479">
        <v>200</v>
      </c>
      <c r="E2247" s="589">
        <v>250672.49</v>
      </c>
    </row>
    <row r="2248" spans="1:5" x14ac:dyDescent="0.2">
      <c r="A2248" s="728">
        <v>45490</v>
      </c>
      <c r="B2248" s="331">
        <f t="shared" si="45"/>
        <v>492793.56999999995</v>
      </c>
      <c r="C2248" s="331">
        <v>241921.08</v>
      </c>
      <c r="D2248" s="479">
        <v>200</v>
      </c>
      <c r="E2248" s="589">
        <v>250672.49</v>
      </c>
    </row>
    <row r="2249" spans="1:5" x14ac:dyDescent="0.2">
      <c r="A2249" s="728">
        <v>45491</v>
      </c>
      <c r="B2249" s="331">
        <f t="shared" si="45"/>
        <v>490184.68</v>
      </c>
      <c r="C2249" s="331">
        <v>239312.19</v>
      </c>
      <c r="D2249" s="479">
        <v>200</v>
      </c>
      <c r="E2249" s="589">
        <v>250672.49</v>
      </c>
    </row>
    <row r="2250" spans="1:5" x14ac:dyDescent="0.2">
      <c r="A2250" s="728">
        <v>45492</v>
      </c>
      <c r="B2250" s="331">
        <f t="shared" si="45"/>
        <v>490825.35</v>
      </c>
      <c r="C2250" s="331">
        <v>239952.86</v>
      </c>
      <c r="D2250" s="479">
        <v>200</v>
      </c>
      <c r="E2250" s="589">
        <v>250672.49</v>
      </c>
    </row>
    <row r="2251" spans="1:5" x14ac:dyDescent="0.2">
      <c r="A2251" s="728">
        <v>45495</v>
      </c>
      <c r="B2251" s="331">
        <f t="shared" si="45"/>
        <v>487953.12</v>
      </c>
      <c r="C2251" s="331">
        <v>237080.63</v>
      </c>
      <c r="D2251" s="479">
        <v>200</v>
      </c>
      <c r="E2251" s="589">
        <v>250672.49</v>
      </c>
    </row>
    <row r="2252" spans="1:5" x14ac:dyDescent="0.2">
      <c r="A2252" s="728">
        <v>45496</v>
      </c>
      <c r="B2252" s="331">
        <f t="shared" si="45"/>
        <v>488049.62</v>
      </c>
      <c r="C2252" s="331">
        <v>237177.13</v>
      </c>
      <c r="D2252" s="479">
        <v>200</v>
      </c>
      <c r="E2252" s="589">
        <v>250672.49</v>
      </c>
    </row>
    <row r="2253" spans="1:5" x14ac:dyDescent="0.2">
      <c r="A2253" s="728">
        <v>45497</v>
      </c>
      <c r="B2253" s="331">
        <f t="shared" si="45"/>
        <v>488084.28</v>
      </c>
      <c r="C2253" s="331">
        <v>237211.79</v>
      </c>
      <c r="D2253" s="479">
        <v>200</v>
      </c>
      <c r="E2253" s="589">
        <v>250672.49</v>
      </c>
    </row>
    <row r="2254" spans="1:5" x14ac:dyDescent="0.2">
      <c r="A2254" s="728">
        <v>45498</v>
      </c>
      <c r="B2254" s="331">
        <f t="shared" si="45"/>
        <v>489260.69</v>
      </c>
      <c r="C2254" s="331">
        <v>238388.2</v>
      </c>
      <c r="D2254" s="479">
        <v>200</v>
      </c>
      <c r="E2254" s="589">
        <v>250672.49</v>
      </c>
    </row>
    <row r="2255" spans="1:5" x14ac:dyDescent="0.2">
      <c r="A2255" s="728">
        <v>45499</v>
      </c>
      <c r="B2255" s="331">
        <f t="shared" si="45"/>
        <v>487504.65</v>
      </c>
      <c r="C2255" s="331">
        <v>236632.16</v>
      </c>
      <c r="D2255" s="479">
        <v>200</v>
      </c>
      <c r="E2255" s="589">
        <v>250672.49</v>
      </c>
    </row>
    <row r="2256" spans="1:5" x14ac:dyDescent="0.2">
      <c r="A2256" s="728">
        <v>45502</v>
      </c>
      <c r="B2256" s="331">
        <f t="shared" si="45"/>
        <v>493139.31</v>
      </c>
      <c r="C2256" s="331">
        <v>242266.82</v>
      </c>
      <c r="D2256" s="479">
        <v>200</v>
      </c>
      <c r="E2256" s="589">
        <v>250672.49</v>
      </c>
    </row>
    <row r="2257" spans="1:5" x14ac:dyDescent="0.2">
      <c r="A2257" s="728">
        <v>45503</v>
      </c>
      <c r="B2257" s="331">
        <f t="shared" si="45"/>
        <v>460235.4</v>
      </c>
      <c r="C2257" s="331">
        <v>209362.91</v>
      </c>
      <c r="D2257" s="479">
        <v>200</v>
      </c>
      <c r="E2257" s="589">
        <v>250672.49</v>
      </c>
    </row>
    <row r="2258" spans="1:5" x14ac:dyDescent="0.2">
      <c r="A2258" s="728">
        <v>45504</v>
      </c>
      <c r="B2258" s="331">
        <f t="shared" si="45"/>
        <v>461284.12</v>
      </c>
      <c r="C2258" s="331">
        <v>209575.23</v>
      </c>
      <c r="D2258" s="479">
        <v>200</v>
      </c>
      <c r="E2258" s="589">
        <v>251508.89</v>
      </c>
    </row>
    <row r="2259" spans="1:5" x14ac:dyDescent="0.2">
      <c r="A2259" s="728">
        <v>45505</v>
      </c>
      <c r="B2259" s="331">
        <f t="shared" si="45"/>
        <v>459321.21</v>
      </c>
      <c r="C2259" s="331">
        <v>207612.32</v>
      </c>
      <c r="D2259" s="479">
        <v>200</v>
      </c>
      <c r="E2259" s="589">
        <v>251508.89</v>
      </c>
    </row>
    <row r="2260" spans="1:5" x14ac:dyDescent="0.2">
      <c r="A2260" s="728">
        <v>45506</v>
      </c>
      <c r="B2260" s="331">
        <f t="shared" si="45"/>
        <v>457084.76</v>
      </c>
      <c r="C2260" s="331">
        <v>205375.87</v>
      </c>
      <c r="D2260" s="479">
        <v>200</v>
      </c>
      <c r="E2260" s="589">
        <v>251508.89</v>
      </c>
    </row>
    <row r="2261" spans="1:5" x14ac:dyDescent="0.2">
      <c r="A2261" s="728">
        <v>45509</v>
      </c>
      <c r="B2261" s="331">
        <f t="shared" si="45"/>
        <v>463766.42000000004</v>
      </c>
      <c r="C2261" s="331">
        <v>212057.53</v>
      </c>
      <c r="D2261" s="479">
        <v>200</v>
      </c>
      <c r="E2261" s="589">
        <v>251508.89</v>
      </c>
    </row>
    <row r="2262" spans="1:5" x14ac:dyDescent="0.2">
      <c r="A2262" s="728">
        <v>45510</v>
      </c>
      <c r="B2262" s="331">
        <f t="shared" si="45"/>
        <v>463766.42000000004</v>
      </c>
      <c r="C2262" s="331">
        <f t="shared" si="46"/>
        <v>212057.53</v>
      </c>
      <c r="D2262" s="479">
        <v>200</v>
      </c>
      <c r="E2262" s="589">
        <v>251508.89</v>
      </c>
    </row>
    <row r="2263" spans="1:5" x14ac:dyDescent="0.2">
      <c r="A2263" s="728">
        <v>45511</v>
      </c>
      <c r="B2263" s="331">
        <f t="shared" si="45"/>
        <v>469122.74</v>
      </c>
      <c r="C2263" s="331">
        <v>217413.85</v>
      </c>
      <c r="D2263" s="479">
        <v>200</v>
      </c>
      <c r="E2263" s="589">
        <v>251508.89</v>
      </c>
    </row>
    <row r="2264" spans="1:5" x14ac:dyDescent="0.2">
      <c r="A2264" s="728">
        <v>45512</v>
      </c>
      <c r="B2264" s="331">
        <f t="shared" si="45"/>
        <v>469122.74</v>
      </c>
      <c r="C2264" s="331">
        <f t="shared" si="46"/>
        <v>217413.85</v>
      </c>
      <c r="D2264" s="479">
        <v>200</v>
      </c>
      <c r="E2264" s="589">
        <v>251508.89</v>
      </c>
    </row>
    <row r="2265" spans="1:5" x14ac:dyDescent="0.2">
      <c r="A2265" s="728">
        <v>45513</v>
      </c>
      <c r="B2265" s="331">
        <f t="shared" si="45"/>
        <v>492677.1</v>
      </c>
      <c r="C2265" s="331">
        <v>240968.21</v>
      </c>
      <c r="D2265" s="479">
        <v>200</v>
      </c>
      <c r="E2265" s="589">
        <v>251508.89</v>
      </c>
    </row>
    <row r="2266" spans="1:5" x14ac:dyDescent="0.2">
      <c r="A2266" s="728">
        <v>45516</v>
      </c>
      <c r="B2266" s="331">
        <f t="shared" si="45"/>
        <v>471079.96</v>
      </c>
      <c r="C2266" s="331">
        <v>219371.07</v>
      </c>
      <c r="D2266" s="479">
        <v>200</v>
      </c>
      <c r="E2266" s="589">
        <v>251508.89</v>
      </c>
    </row>
    <row r="2267" spans="1:5" x14ac:dyDescent="0.2">
      <c r="A2267" s="728">
        <v>45517</v>
      </c>
      <c r="B2267" s="331">
        <f t="shared" si="45"/>
        <v>471079.96</v>
      </c>
      <c r="C2267" s="331">
        <f t="shared" si="46"/>
        <v>219371.07</v>
      </c>
      <c r="D2267" s="479">
        <v>200</v>
      </c>
      <c r="E2267" s="589">
        <v>251508.89</v>
      </c>
    </row>
    <row r="2268" spans="1:5" x14ac:dyDescent="0.2">
      <c r="A2268" s="728">
        <v>45518</v>
      </c>
      <c r="B2268" s="331">
        <f t="shared" si="45"/>
        <v>441990.52</v>
      </c>
      <c r="C2268" s="331">
        <v>190281.63</v>
      </c>
      <c r="D2268" s="479">
        <v>200</v>
      </c>
      <c r="E2268" s="589">
        <v>251508.89</v>
      </c>
    </row>
    <row r="2269" spans="1:5" x14ac:dyDescent="0.2">
      <c r="A2269" s="728">
        <v>45519</v>
      </c>
      <c r="B2269" s="331">
        <f t="shared" si="45"/>
        <v>442836.98</v>
      </c>
      <c r="C2269" s="331">
        <v>191128.09</v>
      </c>
      <c r="D2269" s="479">
        <v>200</v>
      </c>
      <c r="E2269" s="589">
        <v>251508.89</v>
      </c>
    </row>
    <row r="2270" spans="1:5" x14ac:dyDescent="0.2">
      <c r="A2270" s="728">
        <v>45520</v>
      </c>
      <c r="B2270" s="331">
        <f t="shared" si="45"/>
        <v>442485.95</v>
      </c>
      <c r="C2270" s="331">
        <v>190777.06</v>
      </c>
      <c r="D2270" s="479">
        <v>200</v>
      </c>
      <c r="E2270" s="589">
        <v>251508.89</v>
      </c>
    </row>
    <row r="2271" spans="1:5" x14ac:dyDescent="0.2">
      <c r="A2271" s="728">
        <v>45523</v>
      </c>
      <c r="B2271" s="331">
        <f t="shared" si="45"/>
        <v>433080.95</v>
      </c>
      <c r="C2271" s="331">
        <v>181372.06</v>
      </c>
      <c r="D2271" s="479">
        <v>200</v>
      </c>
      <c r="E2271" s="589">
        <v>251508.89</v>
      </c>
    </row>
    <row r="2272" spans="1:5" x14ac:dyDescent="0.2">
      <c r="A2272" s="728">
        <v>45524</v>
      </c>
      <c r="B2272" s="331">
        <f t="shared" si="45"/>
        <v>430333.06000000006</v>
      </c>
      <c r="C2272" s="331">
        <v>178624.17</v>
      </c>
      <c r="D2272" s="479">
        <v>200</v>
      </c>
      <c r="E2272" s="589">
        <v>251508.89</v>
      </c>
    </row>
    <row r="2273" spans="1:8" x14ac:dyDescent="0.2">
      <c r="A2273" s="728">
        <v>45525</v>
      </c>
      <c r="B2273" s="331">
        <f t="shared" si="45"/>
        <v>427774.19</v>
      </c>
      <c r="C2273" s="331">
        <v>176065.3</v>
      </c>
      <c r="D2273" s="479">
        <v>200</v>
      </c>
      <c r="E2273" s="589">
        <v>251508.89</v>
      </c>
    </row>
    <row r="2274" spans="1:8" x14ac:dyDescent="0.2">
      <c r="A2274" s="728">
        <v>45526</v>
      </c>
      <c r="B2274" s="331">
        <f t="shared" si="45"/>
        <v>444122.88</v>
      </c>
      <c r="C2274" s="331">
        <v>192413.99</v>
      </c>
      <c r="D2274" s="479">
        <v>200</v>
      </c>
      <c r="E2274" s="589">
        <v>251508.89</v>
      </c>
    </row>
    <row r="2275" spans="1:8" x14ac:dyDescent="0.2">
      <c r="A2275" s="728">
        <v>45527</v>
      </c>
      <c r="B2275" s="331">
        <f t="shared" si="45"/>
        <v>444122.88</v>
      </c>
      <c r="C2275" s="331">
        <f t="shared" si="46"/>
        <v>192413.99</v>
      </c>
      <c r="D2275" s="479">
        <v>200</v>
      </c>
      <c r="E2275" s="589">
        <v>251508.89</v>
      </c>
    </row>
    <row r="2276" spans="1:8" x14ac:dyDescent="0.2">
      <c r="A2276" s="728">
        <v>45530</v>
      </c>
      <c r="B2276" s="331">
        <f t="shared" si="45"/>
        <v>444122.88</v>
      </c>
      <c r="C2276" s="331">
        <f t="shared" si="46"/>
        <v>192413.99</v>
      </c>
      <c r="D2276" s="479">
        <v>200</v>
      </c>
      <c r="E2276" s="589">
        <v>251508.89</v>
      </c>
    </row>
    <row r="2277" spans="1:8" x14ac:dyDescent="0.2">
      <c r="A2277" s="728">
        <v>45531</v>
      </c>
      <c r="B2277" s="331">
        <f t="shared" si="45"/>
        <v>444092.01</v>
      </c>
      <c r="C2277" s="331">
        <v>192383.12</v>
      </c>
      <c r="D2277" s="479">
        <v>200</v>
      </c>
      <c r="E2277" s="589">
        <v>251508.89</v>
      </c>
    </row>
    <row r="2278" spans="1:8" x14ac:dyDescent="0.2">
      <c r="A2278" s="728">
        <v>45532</v>
      </c>
      <c r="B2278" s="331">
        <f t="shared" si="45"/>
        <v>409823.26</v>
      </c>
      <c r="C2278" s="331">
        <v>158114.37</v>
      </c>
      <c r="D2278" s="479">
        <v>200</v>
      </c>
      <c r="E2278" s="589">
        <v>251508.89</v>
      </c>
    </row>
    <row r="2279" spans="1:8" x14ac:dyDescent="0.2">
      <c r="A2279" s="728">
        <v>45533</v>
      </c>
      <c r="B2279" s="331">
        <f t="shared" si="45"/>
        <v>409823.26</v>
      </c>
      <c r="C2279" s="331">
        <f t="shared" si="46"/>
        <v>158114.37</v>
      </c>
      <c r="D2279" s="479">
        <v>200</v>
      </c>
      <c r="E2279" s="589">
        <v>251508.89</v>
      </c>
    </row>
    <row r="2280" spans="1:8" x14ac:dyDescent="0.2">
      <c r="A2280" s="728">
        <v>45534</v>
      </c>
      <c r="B2280" s="331">
        <f>C2280+D2280+E2280</f>
        <v>431469.19</v>
      </c>
      <c r="C2280" s="331">
        <v>178921.1</v>
      </c>
      <c r="D2280" s="479">
        <v>200</v>
      </c>
      <c r="E2280" s="589">
        <v>252348.09</v>
      </c>
      <c r="H2280" s="212">
        <f>C2280-C2279</f>
        <v>20806.73000000001</v>
      </c>
    </row>
    <row r="2281" spans="1:8" x14ac:dyDescent="0.2">
      <c r="A2281" s="728">
        <v>45537</v>
      </c>
      <c r="B2281" s="331">
        <f t="shared" ref="B2281:B2344" si="47">C2281+D2281+E2281</f>
        <v>431469.19</v>
      </c>
      <c r="C2281" s="331">
        <v>178921.1</v>
      </c>
      <c r="D2281" s="479">
        <v>200</v>
      </c>
      <c r="E2281" s="589">
        <v>252348.09</v>
      </c>
    </row>
    <row r="2282" spans="1:8" x14ac:dyDescent="0.2">
      <c r="A2282" s="728">
        <v>45538</v>
      </c>
      <c r="B2282" s="331">
        <f t="shared" si="47"/>
        <v>431469.19</v>
      </c>
      <c r="C2282" s="331">
        <v>178921.1</v>
      </c>
      <c r="D2282" s="479">
        <v>200</v>
      </c>
      <c r="E2282" s="589">
        <v>252348.09</v>
      </c>
    </row>
    <row r="2283" spans="1:8" x14ac:dyDescent="0.2">
      <c r="A2283" s="728">
        <v>45539</v>
      </c>
      <c r="B2283" s="331">
        <f t="shared" si="47"/>
        <v>431469.19</v>
      </c>
      <c r="C2283" s="331">
        <v>178921.1</v>
      </c>
      <c r="D2283" s="479">
        <v>200</v>
      </c>
      <c r="E2283" s="589">
        <v>252348.09</v>
      </c>
    </row>
    <row r="2284" spans="1:8" x14ac:dyDescent="0.2">
      <c r="A2284" s="728">
        <v>45540</v>
      </c>
      <c r="B2284" s="331">
        <f t="shared" si="47"/>
        <v>431182.22</v>
      </c>
      <c r="C2284" s="331">
        <v>178634.13</v>
      </c>
      <c r="D2284" s="479">
        <v>200</v>
      </c>
      <c r="E2284" s="589">
        <v>252348.09</v>
      </c>
    </row>
    <row r="2285" spans="1:8" x14ac:dyDescent="0.2">
      <c r="A2285" s="728">
        <v>45541</v>
      </c>
      <c r="B2285" s="331">
        <f t="shared" si="47"/>
        <v>431060.93</v>
      </c>
      <c r="C2285" s="331">
        <v>178512.84</v>
      </c>
      <c r="D2285" s="479">
        <v>200</v>
      </c>
      <c r="E2285" s="589">
        <f t="shared" ref="E2285:E2290" si="48">E2284</f>
        <v>252348.09</v>
      </c>
    </row>
    <row r="2286" spans="1:8" x14ac:dyDescent="0.2">
      <c r="A2286" s="728">
        <v>45544</v>
      </c>
      <c r="B2286" s="331">
        <f t="shared" si="47"/>
        <v>431037.93</v>
      </c>
      <c r="C2286" s="331">
        <v>178489.84</v>
      </c>
      <c r="D2286" s="479">
        <v>200</v>
      </c>
      <c r="E2286" s="589">
        <f t="shared" si="48"/>
        <v>252348.09</v>
      </c>
    </row>
    <row r="2287" spans="1:8" x14ac:dyDescent="0.2">
      <c r="A2287" s="728">
        <v>45545</v>
      </c>
      <c r="B2287" s="331">
        <f t="shared" si="47"/>
        <v>394761.57</v>
      </c>
      <c r="C2287" s="331">
        <v>142213.48000000001</v>
      </c>
      <c r="D2287" s="479">
        <v>200</v>
      </c>
      <c r="E2287" s="589">
        <f t="shared" si="48"/>
        <v>252348.09</v>
      </c>
      <c r="H2287" s="212">
        <f>C2287-C2286</f>
        <v>-36276.359999999986</v>
      </c>
    </row>
    <row r="2288" spans="1:8" x14ac:dyDescent="0.2">
      <c r="A2288" s="728">
        <v>45546</v>
      </c>
      <c r="B2288" s="331">
        <f t="shared" si="47"/>
        <v>394761.57</v>
      </c>
      <c r="C2288" s="331">
        <v>142213.48000000001</v>
      </c>
      <c r="D2288" s="479">
        <v>200</v>
      </c>
      <c r="E2288" s="589">
        <f t="shared" si="48"/>
        <v>252348.09</v>
      </c>
    </row>
    <row r="2289" spans="1:8" x14ac:dyDescent="0.2">
      <c r="A2289" s="728">
        <v>45547</v>
      </c>
      <c r="B2289" s="331">
        <f t="shared" si="47"/>
        <v>388573.93</v>
      </c>
      <c r="C2289" s="331">
        <v>136025.84</v>
      </c>
      <c r="D2289" s="479">
        <v>200</v>
      </c>
      <c r="E2289" s="589">
        <f t="shared" si="48"/>
        <v>252348.09</v>
      </c>
    </row>
    <row r="2290" spans="1:8" x14ac:dyDescent="0.2">
      <c r="A2290" s="728">
        <v>45548</v>
      </c>
      <c r="B2290" s="331">
        <f t="shared" si="47"/>
        <v>388238.18</v>
      </c>
      <c r="C2290" s="331">
        <v>135690.09</v>
      </c>
      <c r="D2290" s="479">
        <v>200</v>
      </c>
      <c r="E2290" s="589">
        <f t="shared" si="48"/>
        <v>252348.09</v>
      </c>
    </row>
    <row r="2291" spans="1:8" x14ac:dyDescent="0.2">
      <c r="A2291" s="728">
        <v>45551</v>
      </c>
      <c r="B2291" s="331">
        <f t="shared" si="47"/>
        <v>388662.43</v>
      </c>
      <c r="C2291" s="331">
        <v>136114.34</v>
      </c>
      <c r="D2291" s="479">
        <v>200</v>
      </c>
      <c r="E2291" s="589">
        <v>252348.09</v>
      </c>
    </row>
    <row r="2292" spans="1:8" x14ac:dyDescent="0.2">
      <c r="A2292" s="728">
        <v>45552</v>
      </c>
      <c r="B2292" s="331">
        <f t="shared" si="47"/>
        <v>388662.43</v>
      </c>
      <c r="C2292" s="331">
        <v>136114.34</v>
      </c>
      <c r="D2292" s="479">
        <v>200</v>
      </c>
      <c r="E2292" s="589">
        <v>252348.09</v>
      </c>
    </row>
    <row r="2293" spans="1:8" x14ac:dyDescent="0.2">
      <c r="A2293" s="728">
        <v>45553</v>
      </c>
      <c r="B2293" s="331">
        <f t="shared" si="47"/>
        <v>391543.06999999995</v>
      </c>
      <c r="C2293" s="331">
        <v>138938.23999999999</v>
      </c>
      <c r="D2293" s="479">
        <v>256.74</v>
      </c>
      <c r="E2293" s="589">
        <v>252348.09</v>
      </c>
    </row>
    <row r="2294" spans="1:8" x14ac:dyDescent="0.2">
      <c r="A2294" s="728">
        <v>45554</v>
      </c>
      <c r="B2294" s="331">
        <f t="shared" si="47"/>
        <v>391543.06999999995</v>
      </c>
      <c r="C2294" s="331">
        <v>138938.23999999999</v>
      </c>
      <c r="D2294" s="479">
        <v>256.74</v>
      </c>
      <c r="E2294" s="589">
        <v>252348.09</v>
      </c>
    </row>
    <row r="2295" spans="1:8" x14ac:dyDescent="0.2">
      <c r="A2295" s="728">
        <v>45555</v>
      </c>
      <c r="B2295" s="331">
        <f t="shared" si="47"/>
        <v>389740.61</v>
      </c>
      <c r="C2295" s="331">
        <v>136020.34</v>
      </c>
      <c r="D2295" s="479">
        <v>257</v>
      </c>
      <c r="E2295" s="589">
        <v>253463.27</v>
      </c>
    </row>
    <row r="2296" spans="1:8" x14ac:dyDescent="0.2">
      <c r="A2296" s="728">
        <v>45558</v>
      </c>
      <c r="B2296" s="331">
        <f t="shared" si="47"/>
        <v>376111.05</v>
      </c>
      <c r="C2296" s="331">
        <v>122390.78</v>
      </c>
      <c r="D2296" s="479">
        <v>257</v>
      </c>
      <c r="E2296" s="589">
        <v>253463.27</v>
      </c>
      <c r="H2296" s="212">
        <f>C2296-C2295</f>
        <v>-13629.559999999998</v>
      </c>
    </row>
    <row r="2297" spans="1:8" x14ac:dyDescent="0.2">
      <c r="A2297" s="728">
        <v>45559</v>
      </c>
      <c r="B2297" s="331">
        <f t="shared" si="47"/>
        <v>334132.69</v>
      </c>
      <c r="C2297" s="331">
        <v>80469.42</v>
      </c>
      <c r="D2297" s="479">
        <v>200</v>
      </c>
      <c r="E2297" s="589">
        <v>253463.27</v>
      </c>
      <c r="H2297" s="212">
        <f>C2297-C2296</f>
        <v>-41921.360000000001</v>
      </c>
    </row>
    <row r="2298" spans="1:8" x14ac:dyDescent="0.2">
      <c r="A2298" s="728">
        <v>45560</v>
      </c>
      <c r="B2298" s="331">
        <f t="shared" si="47"/>
        <v>334616.39</v>
      </c>
      <c r="C2298" s="331">
        <v>80953.119999999995</v>
      </c>
      <c r="D2298" s="479">
        <v>200</v>
      </c>
      <c r="E2298" s="589">
        <v>253463.27</v>
      </c>
    </row>
    <row r="2299" spans="1:8" x14ac:dyDescent="0.2">
      <c r="A2299" s="728">
        <v>45560</v>
      </c>
      <c r="B2299" s="331">
        <f t="shared" si="47"/>
        <v>414568.4</v>
      </c>
      <c r="C2299" s="617">
        <v>160905.13</v>
      </c>
      <c r="D2299" s="479">
        <v>200</v>
      </c>
      <c r="E2299" s="589">
        <v>253463.27</v>
      </c>
      <c r="F2299" s="5">
        <f>E2299-E2298</f>
        <v>0</v>
      </c>
    </row>
    <row r="2300" spans="1:8" x14ac:dyDescent="0.2">
      <c r="A2300" s="728">
        <v>45560</v>
      </c>
      <c r="B2300" s="331">
        <f t="shared" si="47"/>
        <v>415428.4</v>
      </c>
      <c r="C2300" s="617">
        <v>161765.13</v>
      </c>
      <c r="D2300" s="479">
        <v>200</v>
      </c>
      <c r="E2300" s="589">
        <v>253463.27</v>
      </c>
    </row>
    <row r="2301" spans="1:8" x14ac:dyDescent="0.2">
      <c r="A2301" s="728">
        <v>45560</v>
      </c>
      <c r="B2301" s="331">
        <f t="shared" si="47"/>
        <v>415397.53</v>
      </c>
      <c r="C2301" s="617">
        <v>161734.26</v>
      </c>
      <c r="D2301" s="479">
        <v>200</v>
      </c>
      <c r="E2301" s="589">
        <v>253463.27</v>
      </c>
    </row>
    <row r="2302" spans="1:8" x14ac:dyDescent="0.2">
      <c r="A2302" s="728">
        <v>45561</v>
      </c>
      <c r="B2302" s="331">
        <f t="shared" si="47"/>
        <v>415400.43</v>
      </c>
      <c r="C2302" s="617">
        <v>161737.16</v>
      </c>
      <c r="D2302" s="479">
        <v>200</v>
      </c>
      <c r="E2302" s="589">
        <v>253463.27</v>
      </c>
    </row>
    <row r="2303" spans="1:8" x14ac:dyDescent="0.2">
      <c r="A2303" s="728">
        <v>45561</v>
      </c>
      <c r="B2303" s="331">
        <f t="shared" si="47"/>
        <v>435428.01</v>
      </c>
      <c r="C2303" s="617">
        <v>181764.74</v>
      </c>
      <c r="D2303" s="479">
        <v>200</v>
      </c>
      <c r="E2303" s="589">
        <v>253463.27</v>
      </c>
    </row>
    <row r="2304" spans="1:8" x14ac:dyDescent="0.2">
      <c r="A2304" s="728">
        <v>45561</v>
      </c>
      <c r="B2304" s="331">
        <f t="shared" si="47"/>
        <v>436352.06</v>
      </c>
      <c r="C2304" s="617">
        <v>182688.79</v>
      </c>
      <c r="D2304" s="479">
        <v>200</v>
      </c>
      <c r="E2304" s="589">
        <v>253463.27</v>
      </c>
    </row>
    <row r="2305" spans="1:5" x14ac:dyDescent="0.2">
      <c r="A2305" s="728">
        <v>45562</v>
      </c>
      <c r="B2305" s="331">
        <f t="shared" si="47"/>
        <v>436302.06</v>
      </c>
      <c r="C2305" s="617">
        <v>182638.79</v>
      </c>
      <c r="D2305" s="479">
        <v>200</v>
      </c>
      <c r="E2305" s="589">
        <v>253463.27</v>
      </c>
    </row>
    <row r="2306" spans="1:5" x14ac:dyDescent="0.2">
      <c r="A2306" s="728">
        <v>45562</v>
      </c>
      <c r="B2306" s="331">
        <f t="shared" si="47"/>
        <v>436248.54</v>
      </c>
      <c r="C2306" s="617">
        <v>182585.27</v>
      </c>
      <c r="D2306" s="479">
        <v>200</v>
      </c>
      <c r="E2306" s="589">
        <v>253463.27</v>
      </c>
    </row>
    <row r="2307" spans="1:5" x14ac:dyDescent="0.2">
      <c r="A2307" s="728">
        <v>45562</v>
      </c>
      <c r="B2307" s="331">
        <f t="shared" si="47"/>
        <v>435998.54</v>
      </c>
      <c r="C2307" s="617">
        <v>182335.27</v>
      </c>
      <c r="D2307" s="479">
        <v>200</v>
      </c>
      <c r="E2307" s="589">
        <v>253463.27</v>
      </c>
    </row>
    <row r="2308" spans="1:5" x14ac:dyDescent="0.2">
      <c r="A2308" s="728">
        <v>45562</v>
      </c>
      <c r="B2308" s="331">
        <f t="shared" si="47"/>
        <v>435781.03</v>
      </c>
      <c r="C2308" s="617">
        <v>182117.76000000001</v>
      </c>
      <c r="D2308" s="479">
        <v>200</v>
      </c>
      <c r="E2308" s="589">
        <v>253463.27</v>
      </c>
    </row>
    <row r="2309" spans="1:5" x14ac:dyDescent="0.2">
      <c r="A2309" s="728">
        <v>45562</v>
      </c>
      <c r="B2309" s="331">
        <f t="shared" si="47"/>
        <v>435577.56</v>
      </c>
      <c r="C2309" s="617">
        <v>181914.29</v>
      </c>
      <c r="D2309" s="479">
        <v>200</v>
      </c>
      <c r="E2309" s="589">
        <v>253463.27</v>
      </c>
    </row>
    <row r="2310" spans="1:5" x14ac:dyDescent="0.2">
      <c r="A2310" s="728">
        <v>45562</v>
      </c>
      <c r="B2310" s="331">
        <f t="shared" si="47"/>
        <v>456572.82999999996</v>
      </c>
      <c r="C2310" s="617">
        <v>202909.56</v>
      </c>
      <c r="D2310" s="479">
        <v>200</v>
      </c>
      <c r="E2310" s="589">
        <v>253463.27</v>
      </c>
    </row>
    <row r="2311" spans="1:5" x14ac:dyDescent="0.2">
      <c r="A2311" s="728">
        <v>45562</v>
      </c>
      <c r="B2311" s="331">
        <f t="shared" si="47"/>
        <v>456221.8</v>
      </c>
      <c r="C2311" s="617">
        <v>202558.53</v>
      </c>
      <c r="D2311" s="479">
        <v>200</v>
      </c>
      <c r="E2311" s="589">
        <v>253463.27</v>
      </c>
    </row>
    <row r="2312" spans="1:5" x14ac:dyDescent="0.2">
      <c r="A2312" s="728">
        <v>45568</v>
      </c>
      <c r="B2312" s="331">
        <f t="shared" si="47"/>
        <v>456117.56</v>
      </c>
      <c r="C2312" s="617">
        <v>202454.29</v>
      </c>
      <c r="D2312" s="479">
        <v>200</v>
      </c>
      <c r="E2312" s="589">
        <v>253463.27</v>
      </c>
    </row>
    <row r="2313" spans="1:5" x14ac:dyDescent="0.2">
      <c r="A2313" s="728">
        <v>45568</v>
      </c>
      <c r="B2313" s="331">
        <f t="shared" si="47"/>
        <v>455967.56</v>
      </c>
      <c r="C2313" s="617">
        <v>202304.29</v>
      </c>
      <c r="D2313" s="479">
        <v>200</v>
      </c>
      <c r="E2313" s="589">
        <v>253463.27</v>
      </c>
    </row>
    <row r="2314" spans="1:5" x14ac:dyDescent="0.2">
      <c r="A2314" s="728">
        <v>45568</v>
      </c>
      <c r="B2314" s="331">
        <f t="shared" si="47"/>
        <v>449876.04</v>
      </c>
      <c r="C2314" s="617">
        <v>196212.77</v>
      </c>
      <c r="D2314" s="479">
        <v>200</v>
      </c>
      <c r="E2314" s="589">
        <v>253463.27</v>
      </c>
    </row>
    <row r="2315" spans="1:5" x14ac:dyDescent="0.2">
      <c r="A2315" s="728">
        <v>45568</v>
      </c>
      <c r="B2315" s="331">
        <f t="shared" si="47"/>
        <v>447560.9</v>
      </c>
      <c r="C2315" s="617">
        <v>193897.63</v>
      </c>
      <c r="D2315" s="479">
        <v>200</v>
      </c>
      <c r="E2315" s="589">
        <v>253463.27</v>
      </c>
    </row>
    <row r="2316" spans="1:5" x14ac:dyDescent="0.2">
      <c r="A2316" s="728">
        <v>45568</v>
      </c>
      <c r="B2316" s="331">
        <f t="shared" si="47"/>
        <v>447352.9</v>
      </c>
      <c r="C2316" s="617">
        <v>193689.63</v>
      </c>
      <c r="D2316" s="479">
        <v>200</v>
      </c>
      <c r="E2316" s="589">
        <v>253463.27</v>
      </c>
    </row>
    <row r="2317" spans="1:5" x14ac:dyDescent="0.2">
      <c r="A2317" s="728">
        <v>45568</v>
      </c>
      <c r="B2317" s="331">
        <f t="shared" si="47"/>
        <v>446752.9</v>
      </c>
      <c r="C2317" s="617">
        <v>193089.63</v>
      </c>
      <c r="D2317" s="479">
        <v>200</v>
      </c>
      <c r="E2317" s="589">
        <v>253463.27</v>
      </c>
    </row>
    <row r="2318" spans="1:5" x14ac:dyDescent="0.2">
      <c r="A2318" s="728">
        <v>45568</v>
      </c>
      <c r="B2318" s="331">
        <f t="shared" si="47"/>
        <v>446306.68</v>
      </c>
      <c r="C2318" s="617">
        <v>192643.41</v>
      </c>
      <c r="D2318" s="479">
        <v>200</v>
      </c>
      <c r="E2318" s="589">
        <v>253463.27</v>
      </c>
    </row>
    <row r="2319" spans="1:5" x14ac:dyDescent="0.2">
      <c r="A2319" s="728">
        <v>45568</v>
      </c>
      <c r="B2319" s="331">
        <f t="shared" si="47"/>
        <v>445887.78</v>
      </c>
      <c r="C2319" s="617">
        <v>192224.51</v>
      </c>
      <c r="D2319" s="479">
        <v>200</v>
      </c>
      <c r="E2319" s="589">
        <v>253463.27</v>
      </c>
    </row>
    <row r="2320" spans="1:5" x14ac:dyDescent="0.2">
      <c r="A2320" s="728">
        <v>45568</v>
      </c>
      <c r="B2320" s="331">
        <f t="shared" si="47"/>
        <v>445505.47</v>
      </c>
      <c r="C2320" s="617">
        <v>191842.2</v>
      </c>
      <c r="D2320" s="479">
        <v>200</v>
      </c>
      <c r="E2320" s="589">
        <v>253463.27</v>
      </c>
    </row>
    <row r="2321" spans="1:5" x14ac:dyDescent="0.2">
      <c r="A2321" s="728">
        <v>45568</v>
      </c>
      <c r="B2321" s="331">
        <f t="shared" si="47"/>
        <v>445491.47</v>
      </c>
      <c r="C2321" s="617">
        <v>191828.2</v>
      </c>
      <c r="D2321" s="479">
        <v>200</v>
      </c>
      <c r="E2321" s="589">
        <v>253463.27</v>
      </c>
    </row>
    <row r="2322" spans="1:5" x14ac:dyDescent="0.2">
      <c r="A2322" s="728">
        <v>45568</v>
      </c>
      <c r="B2322" s="331">
        <f t="shared" si="47"/>
        <v>445038.72</v>
      </c>
      <c r="C2322" s="617">
        <v>191375.45</v>
      </c>
      <c r="D2322" s="479">
        <v>200</v>
      </c>
      <c r="E2322" s="589">
        <v>253463.27</v>
      </c>
    </row>
    <row r="2323" spans="1:5" x14ac:dyDescent="0.2">
      <c r="A2323" s="728">
        <v>45568</v>
      </c>
      <c r="B2323" s="331">
        <f t="shared" si="47"/>
        <v>444793.47</v>
      </c>
      <c r="C2323" s="617">
        <v>191130.2</v>
      </c>
      <c r="D2323" s="479">
        <v>200</v>
      </c>
      <c r="E2323" s="589">
        <v>253463.27</v>
      </c>
    </row>
    <row r="2324" spans="1:5" x14ac:dyDescent="0.2">
      <c r="A2324" s="728">
        <v>45568</v>
      </c>
      <c r="B2324" s="331">
        <f t="shared" si="47"/>
        <v>444729.55</v>
      </c>
      <c r="C2324" s="617">
        <v>191066.28</v>
      </c>
      <c r="D2324" s="479">
        <v>200</v>
      </c>
      <c r="E2324" s="589">
        <v>253463.27</v>
      </c>
    </row>
    <row r="2325" spans="1:5" x14ac:dyDescent="0.2">
      <c r="A2325" s="728">
        <v>45568</v>
      </c>
      <c r="B2325" s="331">
        <f t="shared" si="47"/>
        <v>444099.55</v>
      </c>
      <c r="C2325" s="617">
        <v>190436.28</v>
      </c>
      <c r="D2325" s="479">
        <v>200</v>
      </c>
      <c r="E2325" s="589">
        <v>253463.27</v>
      </c>
    </row>
    <row r="2326" spans="1:5" x14ac:dyDescent="0.2">
      <c r="A2326" s="728">
        <v>45568</v>
      </c>
      <c r="B2326" s="331">
        <f t="shared" si="47"/>
        <v>443978.94999999995</v>
      </c>
      <c r="C2326" s="617">
        <v>190315.68</v>
      </c>
      <c r="D2326" s="479">
        <v>200</v>
      </c>
      <c r="E2326" s="589">
        <v>253463.27</v>
      </c>
    </row>
    <row r="2327" spans="1:5" x14ac:dyDescent="0.2">
      <c r="A2327" s="728">
        <v>45568</v>
      </c>
      <c r="B2327" s="331">
        <f t="shared" si="47"/>
        <v>441928.94999999995</v>
      </c>
      <c r="C2327" s="617">
        <v>188265.68</v>
      </c>
      <c r="D2327" s="479">
        <v>200</v>
      </c>
      <c r="E2327" s="589">
        <v>253463.27</v>
      </c>
    </row>
    <row r="2328" spans="1:5" x14ac:dyDescent="0.2">
      <c r="A2328" s="728">
        <v>45568</v>
      </c>
      <c r="B2328" s="331">
        <f t="shared" si="47"/>
        <v>441330.20999999996</v>
      </c>
      <c r="C2328" s="617">
        <v>187666.94</v>
      </c>
      <c r="D2328" s="479">
        <v>200</v>
      </c>
      <c r="E2328" s="589">
        <v>253463.27</v>
      </c>
    </row>
    <row r="2329" spans="1:5" x14ac:dyDescent="0.2">
      <c r="A2329" s="728">
        <v>45568</v>
      </c>
      <c r="B2329" s="331">
        <f t="shared" si="47"/>
        <v>441289.15</v>
      </c>
      <c r="C2329" s="617">
        <v>187625.88</v>
      </c>
      <c r="D2329" s="479">
        <v>200</v>
      </c>
      <c r="E2329" s="589">
        <v>253463.27</v>
      </c>
    </row>
    <row r="2330" spans="1:5" x14ac:dyDescent="0.2">
      <c r="A2330" s="728">
        <v>45568</v>
      </c>
      <c r="B2330" s="331">
        <f t="shared" si="47"/>
        <v>441609.15</v>
      </c>
      <c r="C2330" s="617">
        <v>187945.88</v>
      </c>
      <c r="D2330" s="479">
        <v>200</v>
      </c>
      <c r="E2330" s="589">
        <v>253463.27</v>
      </c>
    </row>
    <row r="2331" spans="1:5" x14ac:dyDescent="0.2">
      <c r="A2331" s="728">
        <v>45569</v>
      </c>
      <c r="B2331" s="331">
        <f t="shared" si="47"/>
        <v>445038.06999999995</v>
      </c>
      <c r="C2331" s="617">
        <v>191374.8</v>
      </c>
      <c r="D2331" s="479">
        <v>200</v>
      </c>
      <c r="E2331" s="589">
        <v>253463.27</v>
      </c>
    </row>
    <row r="2332" spans="1:5" x14ac:dyDescent="0.2">
      <c r="A2332" s="728">
        <v>45572</v>
      </c>
      <c r="B2332" s="331">
        <f t="shared" si="47"/>
        <v>445015.06999999995</v>
      </c>
      <c r="C2332" s="617">
        <v>191351.8</v>
      </c>
      <c r="D2332" s="479">
        <v>200</v>
      </c>
      <c r="E2332" s="589">
        <v>253463.27</v>
      </c>
    </row>
    <row r="2333" spans="1:5" x14ac:dyDescent="0.2">
      <c r="A2333" s="728">
        <v>45572</v>
      </c>
      <c r="B2333" s="331">
        <f t="shared" si="47"/>
        <v>444684.66000000003</v>
      </c>
      <c r="C2333" s="617">
        <v>191021.39</v>
      </c>
      <c r="D2333" s="479">
        <v>200</v>
      </c>
      <c r="E2333" s="589">
        <v>253463.27</v>
      </c>
    </row>
    <row r="2334" spans="1:5" x14ac:dyDescent="0.2">
      <c r="A2334" s="728">
        <v>45572</v>
      </c>
      <c r="B2334" s="331">
        <f t="shared" si="47"/>
        <v>444084.66000000003</v>
      </c>
      <c r="C2334" s="617">
        <v>190421.39</v>
      </c>
      <c r="D2334" s="479">
        <v>200</v>
      </c>
      <c r="E2334" s="589">
        <v>253463.27</v>
      </c>
    </row>
    <row r="2335" spans="1:5" x14ac:dyDescent="0.2">
      <c r="A2335" s="728">
        <v>45572</v>
      </c>
      <c r="B2335" s="331">
        <f t="shared" si="47"/>
        <v>477690.05</v>
      </c>
      <c r="C2335" s="617">
        <v>224026.78</v>
      </c>
      <c r="D2335" s="479">
        <v>200</v>
      </c>
      <c r="E2335" s="589">
        <v>253463.27</v>
      </c>
    </row>
    <row r="2336" spans="1:5" x14ac:dyDescent="0.2">
      <c r="A2336" s="728">
        <v>45574</v>
      </c>
      <c r="B2336" s="331">
        <f t="shared" si="47"/>
        <v>435748.37</v>
      </c>
      <c r="C2336" s="617">
        <v>182085.1</v>
      </c>
      <c r="D2336" s="479">
        <v>200</v>
      </c>
      <c r="E2336" s="589">
        <v>253463.27</v>
      </c>
    </row>
    <row r="2337" spans="1:5" x14ac:dyDescent="0.2">
      <c r="A2337" s="728">
        <v>45575</v>
      </c>
      <c r="B2337" s="331">
        <f t="shared" si="47"/>
        <v>435671.87</v>
      </c>
      <c r="C2337" s="617">
        <v>182008.6</v>
      </c>
      <c r="D2337" s="479">
        <v>200</v>
      </c>
      <c r="E2337" s="589">
        <v>253463.27</v>
      </c>
    </row>
    <row r="2338" spans="1:5" x14ac:dyDescent="0.2">
      <c r="A2338" s="728">
        <v>45575</v>
      </c>
      <c r="B2338" s="331">
        <f t="shared" si="47"/>
        <v>435408.66000000003</v>
      </c>
      <c r="C2338" s="617">
        <v>181745.39</v>
      </c>
      <c r="D2338" s="479">
        <v>200</v>
      </c>
      <c r="E2338" s="589">
        <v>253463.27</v>
      </c>
    </row>
    <row r="2339" spans="1:5" x14ac:dyDescent="0.2">
      <c r="A2339" s="728">
        <v>45575</v>
      </c>
      <c r="B2339" s="331">
        <f t="shared" si="47"/>
        <v>435194.45999999996</v>
      </c>
      <c r="C2339" s="617">
        <v>181531.19</v>
      </c>
      <c r="D2339" s="479">
        <v>200</v>
      </c>
      <c r="E2339" s="589">
        <v>253463.27</v>
      </c>
    </row>
    <row r="2340" spans="1:5" x14ac:dyDescent="0.2">
      <c r="A2340" s="728">
        <v>45575</v>
      </c>
      <c r="B2340" s="331">
        <f t="shared" si="47"/>
        <v>435017.47</v>
      </c>
      <c r="C2340" s="617">
        <v>181354.2</v>
      </c>
      <c r="D2340" s="479">
        <v>200</v>
      </c>
      <c r="E2340" s="589">
        <v>253463.27</v>
      </c>
    </row>
    <row r="2341" spans="1:5" x14ac:dyDescent="0.2">
      <c r="A2341" s="728">
        <v>45575</v>
      </c>
      <c r="B2341" s="331">
        <f t="shared" si="47"/>
        <v>434984.12</v>
      </c>
      <c r="C2341" s="617">
        <v>181320.85</v>
      </c>
      <c r="D2341" s="479">
        <v>200</v>
      </c>
      <c r="E2341" s="589">
        <v>253463.27</v>
      </c>
    </row>
    <row r="2342" spans="1:5" x14ac:dyDescent="0.2">
      <c r="A2342" s="728">
        <v>45575</v>
      </c>
      <c r="B2342" s="331">
        <f t="shared" si="47"/>
        <v>433976.95999999996</v>
      </c>
      <c r="C2342" s="617">
        <v>180313.69</v>
      </c>
      <c r="D2342" s="479">
        <v>200</v>
      </c>
      <c r="E2342" s="589">
        <v>253463.27</v>
      </c>
    </row>
    <row r="2343" spans="1:5" x14ac:dyDescent="0.2">
      <c r="A2343" s="728">
        <v>45575</v>
      </c>
      <c r="B2343" s="331">
        <f t="shared" si="47"/>
        <v>433939.36</v>
      </c>
      <c r="C2343" s="617">
        <v>180276.09</v>
      </c>
      <c r="D2343" s="479">
        <v>200</v>
      </c>
      <c r="E2343" s="589">
        <v>253463.27</v>
      </c>
    </row>
    <row r="2344" spans="1:5" x14ac:dyDescent="0.2">
      <c r="A2344" s="728">
        <v>45575</v>
      </c>
      <c r="B2344" s="331">
        <f t="shared" si="47"/>
        <v>433911.55</v>
      </c>
      <c r="C2344" s="617">
        <v>180248.28</v>
      </c>
      <c r="D2344" s="479">
        <v>200</v>
      </c>
      <c r="E2344" s="589">
        <v>253463.27</v>
      </c>
    </row>
    <row r="2345" spans="1:5" x14ac:dyDescent="0.2">
      <c r="A2345" s="728">
        <v>45575</v>
      </c>
      <c r="B2345" s="331">
        <f t="shared" ref="B2345:B2408" si="49">C2345+D2345+E2345</f>
        <v>433881.4</v>
      </c>
      <c r="C2345" s="617">
        <v>180218.13</v>
      </c>
      <c r="D2345" s="479">
        <v>200</v>
      </c>
      <c r="E2345" s="589">
        <v>253463.27</v>
      </c>
    </row>
    <row r="2346" spans="1:5" x14ac:dyDescent="0.2">
      <c r="A2346" s="728">
        <v>45576</v>
      </c>
      <c r="B2346" s="331">
        <f t="shared" si="49"/>
        <v>442004.72</v>
      </c>
      <c r="C2346" s="617">
        <v>188341.45</v>
      </c>
      <c r="D2346" s="479">
        <v>200</v>
      </c>
      <c r="E2346" s="589">
        <v>253463.27</v>
      </c>
    </row>
    <row r="2347" spans="1:5" x14ac:dyDescent="0.2">
      <c r="A2347" s="728">
        <v>45576</v>
      </c>
      <c r="B2347" s="331">
        <f t="shared" si="49"/>
        <v>441653.69</v>
      </c>
      <c r="C2347" s="617">
        <v>187990.42</v>
      </c>
      <c r="D2347" s="479">
        <v>200</v>
      </c>
      <c r="E2347" s="589">
        <v>253463.27</v>
      </c>
    </row>
    <row r="2348" spans="1:5" x14ac:dyDescent="0.2">
      <c r="A2348" s="728">
        <v>45580</v>
      </c>
      <c r="B2348" s="331">
        <f t="shared" si="49"/>
        <v>441995.39</v>
      </c>
      <c r="C2348" s="617">
        <v>188332.12</v>
      </c>
      <c r="D2348" s="479">
        <v>200</v>
      </c>
      <c r="E2348" s="589">
        <v>253463.27</v>
      </c>
    </row>
    <row r="2349" spans="1:5" x14ac:dyDescent="0.2">
      <c r="A2349" s="728">
        <v>45580</v>
      </c>
      <c r="B2349" s="331">
        <f t="shared" si="49"/>
        <v>442012.12</v>
      </c>
      <c r="C2349" s="617">
        <v>188348.85</v>
      </c>
      <c r="D2349" s="479">
        <v>200</v>
      </c>
      <c r="E2349" s="589">
        <v>253463.27</v>
      </c>
    </row>
    <row r="2350" spans="1:5" x14ac:dyDescent="0.2">
      <c r="A2350" s="728">
        <v>45581</v>
      </c>
      <c r="B2350" s="331">
        <f t="shared" si="49"/>
        <v>442444.12</v>
      </c>
      <c r="C2350" s="617">
        <v>188780.85</v>
      </c>
      <c r="D2350" s="479">
        <v>200</v>
      </c>
      <c r="E2350" s="589">
        <v>253463.27</v>
      </c>
    </row>
    <row r="2351" spans="1:5" x14ac:dyDescent="0.2">
      <c r="A2351" s="728">
        <v>45581</v>
      </c>
      <c r="B2351" s="331">
        <f t="shared" si="49"/>
        <v>442106.93</v>
      </c>
      <c r="C2351" s="617">
        <v>188443.66</v>
      </c>
      <c r="D2351" s="479">
        <v>200</v>
      </c>
      <c r="E2351" s="589">
        <v>253463.27</v>
      </c>
    </row>
    <row r="2352" spans="1:5" x14ac:dyDescent="0.2">
      <c r="A2352" s="728">
        <v>45582</v>
      </c>
      <c r="B2352" s="331">
        <f t="shared" si="49"/>
        <v>442053.41000000003</v>
      </c>
      <c r="C2352" s="617">
        <v>188390.14</v>
      </c>
      <c r="D2352" s="479">
        <v>200</v>
      </c>
      <c r="E2352" s="589">
        <v>253463.27</v>
      </c>
    </row>
    <row r="2353" spans="1:5" x14ac:dyDescent="0.2">
      <c r="A2353" s="728">
        <v>45582</v>
      </c>
      <c r="B2353" s="331">
        <f t="shared" si="49"/>
        <v>441808.22</v>
      </c>
      <c r="C2353" s="617">
        <v>188144.95</v>
      </c>
      <c r="D2353" s="479">
        <v>200</v>
      </c>
      <c r="E2353" s="589">
        <v>253463.27</v>
      </c>
    </row>
    <row r="2354" spans="1:5" x14ac:dyDescent="0.2">
      <c r="A2354" s="728">
        <v>45582</v>
      </c>
      <c r="B2354" s="331">
        <f t="shared" si="49"/>
        <v>441600.22</v>
      </c>
      <c r="C2354" s="617">
        <v>187936.95</v>
      </c>
      <c r="D2354" s="479">
        <v>200</v>
      </c>
      <c r="E2354" s="589">
        <v>253463.27</v>
      </c>
    </row>
    <row r="2355" spans="1:5" x14ac:dyDescent="0.2">
      <c r="A2355" s="728">
        <v>45582</v>
      </c>
      <c r="B2355" s="331">
        <f t="shared" si="49"/>
        <v>441536.23</v>
      </c>
      <c r="C2355" s="617">
        <v>187872.96</v>
      </c>
      <c r="D2355" s="479">
        <v>200</v>
      </c>
      <c r="E2355" s="589">
        <v>253463.27</v>
      </c>
    </row>
    <row r="2356" spans="1:5" x14ac:dyDescent="0.2">
      <c r="A2356" s="728">
        <v>45582</v>
      </c>
      <c r="B2356" s="331">
        <f t="shared" si="49"/>
        <v>441515.98</v>
      </c>
      <c r="C2356" s="617">
        <v>187852.71</v>
      </c>
      <c r="D2356" s="479">
        <v>200</v>
      </c>
      <c r="E2356" s="589">
        <v>253463.27</v>
      </c>
    </row>
    <row r="2357" spans="1:5" x14ac:dyDescent="0.2">
      <c r="A2357" s="728">
        <v>45582</v>
      </c>
      <c r="B2357" s="331">
        <f t="shared" si="49"/>
        <v>441218.38</v>
      </c>
      <c r="C2357" s="617">
        <v>187555.11</v>
      </c>
      <c r="D2357" s="479">
        <v>200</v>
      </c>
      <c r="E2357" s="589">
        <v>253463.27</v>
      </c>
    </row>
    <row r="2358" spans="1:5" x14ac:dyDescent="0.2">
      <c r="A2358" s="728">
        <v>45582</v>
      </c>
      <c r="B2358" s="331">
        <f t="shared" si="49"/>
        <v>441155.38</v>
      </c>
      <c r="C2358" s="617">
        <v>187492.11</v>
      </c>
      <c r="D2358" s="479">
        <v>200</v>
      </c>
      <c r="E2358" s="589">
        <v>253463.27</v>
      </c>
    </row>
    <row r="2359" spans="1:5" x14ac:dyDescent="0.2">
      <c r="A2359" s="728">
        <v>45582</v>
      </c>
      <c r="B2359" s="331">
        <f t="shared" si="49"/>
        <v>441405.38</v>
      </c>
      <c r="C2359" s="617">
        <v>187742.11</v>
      </c>
      <c r="D2359" s="479">
        <v>200</v>
      </c>
      <c r="E2359" s="589">
        <v>253463.27</v>
      </c>
    </row>
    <row r="2360" spans="1:5" x14ac:dyDescent="0.2">
      <c r="A2360" s="728">
        <v>45583</v>
      </c>
      <c r="B2360" s="331">
        <f t="shared" si="49"/>
        <v>441338.61</v>
      </c>
      <c r="C2360" s="617">
        <v>187675.34</v>
      </c>
      <c r="D2360" s="479">
        <v>200</v>
      </c>
      <c r="E2360" s="589">
        <v>253463.27</v>
      </c>
    </row>
    <row r="2361" spans="1:5" x14ac:dyDescent="0.2">
      <c r="A2361" s="728">
        <v>45583</v>
      </c>
      <c r="B2361" s="331">
        <f t="shared" si="49"/>
        <v>440712.58999999997</v>
      </c>
      <c r="C2361" s="617">
        <v>187049.32</v>
      </c>
      <c r="D2361" s="479">
        <v>200</v>
      </c>
      <c r="E2361" s="589">
        <v>253463.27</v>
      </c>
    </row>
    <row r="2362" spans="1:5" x14ac:dyDescent="0.2">
      <c r="A2362" s="728">
        <v>45583</v>
      </c>
      <c r="B2362" s="331">
        <f t="shared" si="49"/>
        <v>440604.43</v>
      </c>
      <c r="C2362" s="617">
        <v>186941.16</v>
      </c>
      <c r="D2362" s="479">
        <v>200</v>
      </c>
      <c r="E2362" s="589">
        <v>253463.27</v>
      </c>
    </row>
    <row r="2363" spans="1:5" x14ac:dyDescent="0.2">
      <c r="A2363" s="728">
        <v>45583</v>
      </c>
      <c r="B2363" s="331">
        <f t="shared" si="49"/>
        <v>440499.44</v>
      </c>
      <c r="C2363" s="617">
        <v>186836.17</v>
      </c>
      <c r="D2363" s="479">
        <v>200</v>
      </c>
      <c r="E2363" s="589">
        <v>253463.27</v>
      </c>
    </row>
    <row r="2364" spans="1:5" x14ac:dyDescent="0.2">
      <c r="A2364" s="728">
        <v>45583</v>
      </c>
      <c r="B2364" s="331">
        <f t="shared" si="49"/>
        <v>440382.61</v>
      </c>
      <c r="C2364" s="617">
        <v>186719.34</v>
      </c>
      <c r="D2364" s="479">
        <v>200</v>
      </c>
      <c r="E2364" s="589">
        <v>253463.27</v>
      </c>
    </row>
    <row r="2365" spans="1:5" x14ac:dyDescent="0.2">
      <c r="A2365" s="728">
        <v>45583</v>
      </c>
      <c r="B2365" s="331">
        <f t="shared" si="49"/>
        <v>440019.70999999996</v>
      </c>
      <c r="C2365" s="617">
        <v>186356.44</v>
      </c>
      <c r="D2365" s="479">
        <v>200</v>
      </c>
      <c r="E2365" s="589">
        <v>253463.27</v>
      </c>
    </row>
    <row r="2366" spans="1:5" x14ac:dyDescent="0.2">
      <c r="A2366" s="728">
        <v>45583</v>
      </c>
      <c r="B2366" s="331">
        <f t="shared" si="49"/>
        <v>438652.63</v>
      </c>
      <c r="C2366" s="617">
        <v>184989.36</v>
      </c>
      <c r="D2366" s="479">
        <v>200</v>
      </c>
      <c r="E2366" s="589">
        <v>253463.27</v>
      </c>
    </row>
    <row r="2367" spans="1:5" x14ac:dyDescent="0.2">
      <c r="A2367" s="728">
        <v>45583</v>
      </c>
      <c r="B2367" s="331">
        <f>C2367+D2367+E2367</f>
        <v>463652.63</v>
      </c>
      <c r="C2367" s="617">
        <v>209989.36</v>
      </c>
      <c r="D2367" s="479">
        <v>200</v>
      </c>
      <c r="E2367" s="589">
        <v>253463.27</v>
      </c>
    </row>
    <row r="2368" spans="1:5" x14ac:dyDescent="0.2">
      <c r="A2368" s="728">
        <v>45583</v>
      </c>
      <c r="B2368" s="331">
        <f t="shared" si="49"/>
        <v>463822.63</v>
      </c>
      <c r="C2368" s="617">
        <v>210159.35999999999</v>
      </c>
      <c r="D2368" s="479">
        <v>200</v>
      </c>
      <c r="E2368" s="589">
        <v>253463.27</v>
      </c>
    </row>
    <row r="2369" spans="1:5" x14ac:dyDescent="0.2">
      <c r="A2369" s="728">
        <v>45583</v>
      </c>
      <c r="B2369" s="331">
        <f t="shared" si="49"/>
        <v>463822.63</v>
      </c>
      <c r="C2369" s="617">
        <v>210159.35999999999</v>
      </c>
      <c r="D2369" s="479">
        <v>200</v>
      </c>
      <c r="E2369" s="589">
        <v>253463.27</v>
      </c>
    </row>
    <row r="2370" spans="1:5" x14ac:dyDescent="0.2">
      <c r="A2370" s="728">
        <v>45586</v>
      </c>
      <c r="B2370" s="331">
        <f t="shared" si="49"/>
        <v>460904.74</v>
      </c>
      <c r="C2370" s="617">
        <v>207241.47</v>
      </c>
      <c r="D2370" s="479">
        <v>200</v>
      </c>
      <c r="E2370" s="589">
        <v>253463.27</v>
      </c>
    </row>
    <row r="2371" spans="1:5" x14ac:dyDescent="0.2">
      <c r="A2371" s="728">
        <v>45586</v>
      </c>
      <c r="B2371" s="331">
        <f t="shared" si="49"/>
        <v>460844.74</v>
      </c>
      <c r="C2371" s="617">
        <v>207181.47</v>
      </c>
      <c r="D2371" s="479">
        <v>200</v>
      </c>
      <c r="E2371" s="589">
        <v>253463.27</v>
      </c>
    </row>
    <row r="2372" spans="1:5" x14ac:dyDescent="0.2">
      <c r="A2372" s="728">
        <v>45587</v>
      </c>
      <c r="B2372" s="331">
        <f t="shared" si="49"/>
        <v>420383</v>
      </c>
      <c r="C2372" s="617">
        <v>166719.73000000001</v>
      </c>
      <c r="D2372" s="479">
        <v>200</v>
      </c>
      <c r="E2372" s="589">
        <v>253463.27</v>
      </c>
    </row>
    <row r="2373" spans="1:5" x14ac:dyDescent="0.2">
      <c r="A2373" s="728">
        <v>45589</v>
      </c>
      <c r="B2373" s="331">
        <f t="shared" si="49"/>
        <v>411651.03</v>
      </c>
      <c r="C2373" s="617">
        <v>157987.76</v>
      </c>
      <c r="D2373" s="479">
        <v>200</v>
      </c>
      <c r="E2373" s="589">
        <v>253463.27</v>
      </c>
    </row>
    <row r="2374" spans="1:5" x14ac:dyDescent="0.2">
      <c r="A2374" s="728">
        <v>45589</v>
      </c>
      <c r="B2374" s="331">
        <f t="shared" si="49"/>
        <v>411443.03</v>
      </c>
      <c r="C2374" s="617">
        <v>157779.76</v>
      </c>
      <c r="D2374" s="479">
        <v>200</v>
      </c>
      <c r="E2374" s="589">
        <v>253463.27</v>
      </c>
    </row>
    <row r="2375" spans="1:5" x14ac:dyDescent="0.2">
      <c r="A2375" s="728">
        <v>45589</v>
      </c>
      <c r="B2375" s="331">
        <f t="shared" si="49"/>
        <v>410990.05</v>
      </c>
      <c r="C2375" s="617">
        <v>157326.78</v>
      </c>
      <c r="D2375" s="479">
        <v>200</v>
      </c>
      <c r="E2375" s="589">
        <v>253463.27</v>
      </c>
    </row>
    <row r="2376" spans="1:5" x14ac:dyDescent="0.2">
      <c r="A2376" s="728">
        <v>45589</v>
      </c>
      <c r="B2376" s="331">
        <f t="shared" si="49"/>
        <v>409211.81</v>
      </c>
      <c r="C2376" s="617">
        <v>155548.54</v>
      </c>
      <c r="D2376" s="479">
        <v>200</v>
      </c>
      <c r="E2376" s="589">
        <v>253463.27</v>
      </c>
    </row>
    <row r="2377" spans="1:5" x14ac:dyDescent="0.2">
      <c r="A2377" s="728">
        <v>45589</v>
      </c>
      <c r="B2377" s="331">
        <f t="shared" si="49"/>
        <v>408634.55</v>
      </c>
      <c r="C2377" s="617">
        <v>154971.28</v>
      </c>
      <c r="D2377" s="479">
        <v>200</v>
      </c>
      <c r="E2377" s="589">
        <v>253463.27</v>
      </c>
    </row>
    <row r="2378" spans="1:5" x14ac:dyDescent="0.2">
      <c r="A2378" s="728">
        <v>45589</v>
      </c>
      <c r="B2378" s="331">
        <f t="shared" si="49"/>
        <v>407397.53</v>
      </c>
      <c r="C2378" s="617">
        <v>153734.26</v>
      </c>
      <c r="D2378" s="479">
        <v>200</v>
      </c>
      <c r="E2378" s="589">
        <v>253463.27</v>
      </c>
    </row>
    <row r="2379" spans="1:5" x14ac:dyDescent="0.2">
      <c r="A2379" s="728">
        <v>45589</v>
      </c>
      <c r="B2379" s="331">
        <f t="shared" si="49"/>
        <v>407381.53</v>
      </c>
      <c r="C2379" s="617">
        <v>153718.26</v>
      </c>
      <c r="D2379" s="479">
        <v>200</v>
      </c>
      <c r="E2379" s="589">
        <v>253463.27</v>
      </c>
    </row>
    <row r="2380" spans="1:5" x14ac:dyDescent="0.2">
      <c r="A2380" s="728">
        <v>45589</v>
      </c>
      <c r="B2380" s="331">
        <f t="shared" si="49"/>
        <v>407360.53</v>
      </c>
      <c r="C2380" s="617">
        <v>153697.26</v>
      </c>
      <c r="D2380" s="479">
        <v>200</v>
      </c>
      <c r="E2380" s="589">
        <v>253463.27</v>
      </c>
    </row>
    <row r="2381" spans="1:5" x14ac:dyDescent="0.2">
      <c r="A2381" s="728">
        <v>45589</v>
      </c>
      <c r="B2381" s="331">
        <f t="shared" si="49"/>
        <v>407609.53</v>
      </c>
      <c r="C2381" s="617">
        <v>153946.26</v>
      </c>
      <c r="D2381" s="479">
        <v>200</v>
      </c>
      <c r="E2381" s="589">
        <v>253463.27</v>
      </c>
    </row>
    <row r="2382" spans="1:5" x14ac:dyDescent="0.2">
      <c r="A2382" s="728">
        <v>45589</v>
      </c>
      <c r="B2382" s="331">
        <f t="shared" si="49"/>
        <v>422598.70999999996</v>
      </c>
      <c r="C2382" s="617">
        <v>168935.44</v>
      </c>
      <c r="D2382" s="479">
        <v>200</v>
      </c>
      <c r="E2382" s="589">
        <v>253463.27</v>
      </c>
    </row>
    <row r="2383" spans="1:5" x14ac:dyDescent="0.2">
      <c r="A2383" s="728">
        <v>45589</v>
      </c>
      <c r="B2383" s="331">
        <f t="shared" si="49"/>
        <v>423159.28</v>
      </c>
      <c r="C2383" s="617">
        <v>169496.01</v>
      </c>
      <c r="D2383" s="479">
        <v>200</v>
      </c>
      <c r="E2383" s="589">
        <v>253463.27</v>
      </c>
    </row>
    <row r="2384" spans="1:5" x14ac:dyDescent="0.2">
      <c r="A2384" s="728">
        <v>45589</v>
      </c>
      <c r="B2384" s="331">
        <f t="shared" si="49"/>
        <v>423101.28</v>
      </c>
      <c r="C2384" s="617">
        <v>169438.01</v>
      </c>
      <c r="D2384" s="479">
        <v>200</v>
      </c>
      <c r="E2384" s="589">
        <v>253463.27</v>
      </c>
    </row>
    <row r="2385" spans="1:8" x14ac:dyDescent="0.2">
      <c r="A2385" s="728">
        <v>45590</v>
      </c>
      <c r="B2385" s="331">
        <f t="shared" si="49"/>
        <v>422750.25</v>
      </c>
      <c r="C2385" s="617">
        <v>169086.98</v>
      </c>
      <c r="D2385" s="479">
        <v>200</v>
      </c>
      <c r="E2385" s="589">
        <v>253463.27</v>
      </c>
    </row>
    <row r="2386" spans="1:8" x14ac:dyDescent="0.2">
      <c r="A2386" s="728">
        <v>45593</v>
      </c>
      <c r="B2386" s="331">
        <f t="shared" si="49"/>
        <v>422363.36</v>
      </c>
      <c r="C2386" s="617">
        <v>168700.09</v>
      </c>
      <c r="D2386" s="479">
        <v>200</v>
      </c>
      <c r="E2386" s="589">
        <v>253463.27</v>
      </c>
    </row>
    <row r="2387" spans="1:8" x14ac:dyDescent="0.2">
      <c r="A2387" s="728">
        <v>45593</v>
      </c>
      <c r="B2387" s="331">
        <f t="shared" si="49"/>
        <v>422332.49</v>
      </c>
      <c r="C2387" s="617">
        <v>168669.22</v>
      </c>
      <c r="D2387" s="479">
        <v>200</v>
      </c>
      <c r="E2387" s="589">
        <v>253463.27</v>
      </c>
    </row>
    <row r="2388" spans="1:8" x14ac:dyDescent="0.2">
      <c r="A2388" s="728">
        <v>45594</v>
      </c>
      <c r="B2388" s="331">
        <f t="shared" si="49"/>
        <v>426353.55</v>
      </c>
      <c r="C2388" s="617">
        <v>172690.28</v>
      </c>
      <c r="D2388" s="479">
        <v>200</v>
      </c>
      <c r="E2388" s="589">
        <v>253463.27</v>
      </c>
    </row>
    <row r="2389" spans="1:8" x14ac:dyDescent="0.2">
      <c r="A2389" s="728">
        <v>45594</v>
      </c>
      <c r="B2389" s="331">
        <f t="shared" si="49"/>
        <v>426927.55</v>
      </c>
      <c r="C2389" s="617">
        <v>173264.28</v>
      </c>
      <c r="D2389" s="479">
        <v>200</v>
      </c>
      <c r="E2389" s="589">
        <v>253463.27</v>
      </c>
    </row>
    <row r="2390" spans="1:8" x14ac:dyDescent="0.2">
      <c r="A2390" s="728">
        <f>A2389+1</f>
        <v>45595</v>
      </c>
      <c r="B2390" s="331">
        <f t="shared" si="49"/>
        <v>426927.55</v>
      </c>
      <c r="C2390" s="617">
        <v>173264.28</v>
      </c>
      <c r="D2390" s="479">
        <v>200</v>
      </c>
      <c r="E2390" s="589">
        <v>253463.27</v>
      </c>
    </row>
    <row r="2391" spans="1:8" x14ac:dyDescent="0.2">
      <c r="A2391" s="728">
        <f>A2390+1</f>
        <v>45596</v>
      </c>
      <c r="B2391" s="331">
        <f t="shared" si="49"/>
        <v>427753.16000000003</v>
      </c>
      <c r="C2391" s="617">
        <v>173264.28</v>
      </c>
      <c r="D2391" s="479">
        <v>200</v>
      </c>
      <c r="E2391" s="589">
        <v>254288.88</v>
      </c>
    </row>
    <row r="2392" spans="1:8" x14ac:dyDescent="0.2">
      <c r="A2392" s="728">
        <v>45597</v>
      </c>
      <c r="B2392" s="331">
        <f t="shared" si="49"/>
        <v>426032.37</v>
      </c>
      <c r="C2392" s="617">
        <v>171543.49</v>
      </c>
      <c r="D2392" s="479">
        <v>200</v>
      </c>
      <c r="E2392" s="589">
        <v>254288.88</v>
      </c>
    </row>
    <row r="2393" spans="1:8" x14ac:dyDescent="0.2">
      <c r="A2393" s="728">
        <v>45601</v>
      </c>
      <c r="B2393" s="331">
        <f t="shared" si="49"/>
        <v>434744.04000000004</v>
      </c>
      <c r="C2393" s="617">
        <v>180255.16</v>
      </c>
      <c r="D2393" s="479">
        <v>200</v>
      </c>
      <c r="E2393" s="589">
        <v>254288.88</v>
      </c>
    </row>
    <row r="2394" spans="1:8" x14ac:dyDescent="0.2">
      <c r="A2394" s="728">
        <v>45601</v>
      </c>
      <c r="B2394" s="331">
        <f t="shared" si="49"/>
        <v>392415.65</v>
      </c>
      <c r="C2394" s="617">
        <v>137926.76999999999</v>
      </c>
      <c r="D2394" s="479">
        <v>200</v>
      </c>
      <c r="E2394" s="589">
        <v>254288.88</v>
      </c>
    </row>
    <row r="2395" spans="1:8" x14ac:dyDescent="0.2">
      <c r="A2395" s="728">
        <v>45602</v>
      </c>
      <c r="B2395" s="331">
        <f t="shared" si="49"/>
        <v>392392.65</v>
      </c>
      <c r="C2395" s="617">
        <v>137903.76999999999</v>
      </c>
      <c r="D2395" s="479">
        <v>200</v>
      </c>
      <c r="E2395" s="589">
        <v>254288.88</v>
      </c>
    </row>
    <row r="2396" spans="1:8" x14ac:dyDescent="0.2">
      <c r="A2396" s="728">
        <v>45603</v>
      </c>
      <c r="B2396" s="331">
        <f t="shared" si="49"/>
        <v>392281.77</v>
      </c>
      <c r="C2396" s="617">
        <v>137792.89000000001</v>
      </c>
      <c r="D2396" s="479">
        <v>200</v>
      </c>
      <c r="E2396" s="589">
        <v>254288.88</v>
      </c>
      <c r="G2396" s="344" t="s">
        <v>295</v>
      </c>
      <c r="H2396" s="331">
        <f>AVERAGE(B2105:B2391)</f>
        <v>503956.1364808369</v>
      </c>
    </row>
    <row r="2397" spans="1:8" x14ac:dyDescent="0.2">
      <c r="A2397" s="728">
        <v>45603</v>
      </c>
      <c r="B2397" s="331">
        <f t="shared" si="49"/>
        <v>392073.77</v>
      </c>
      <c r="C2397" s="617">
        <v>137584.89000000001</v>
      </c>
      <c r="D2397" s="479">
        <v>200</v>
      </c>
      <c r="E2397" s="589">
        <v>254288.88</v>
      </c>
    </row>
    <row r="2398" spans="1:8" x14ac:dyDescent="0.2">
      <c r="A2398" s="728">
        <v>45603</v>
      </c>
      <c r="B2398" s="331">
        <f t="shared" si="49"/>
        <v>391781.77</v>
      </c>
      <c r="C2398" s="617">
        <v>137292.89000000001</v>
      </c>
      <c r="D2398" s="479">
        <v>200</v>
      </c>
      <c r="E2398" s="589">
        <v>254288.88</v>
      </c>
    </row>
    <row r="2399" spans="1:8" x14ac:dyDescent="0.2">
      <c r="A2399" s="728">
        <v>45603</v>
      </c>
      <c r="B2399" s="331">
        <f t="shared" si="49"/>
        <v>391706.76</v>
      </c>
      <c r="C2399" s="617">
        <v>137217.88</v>
      </c>
      <c r="D2399" s="479">
        <v>200</v>
      </c>
      <c r="E2399" s="589">
        <v>254288.88</v>
      </c>
    </row>
    <row r="2400" spans="1:8" x14ac:dyDescent="0.2">
      <c r="A2400" s="728">
        <v>45603</v>
      </c>
      <c r="B2400" s="331">
        <f t="shared" si="49"/>
        <v>391418.27</v>
      </c>
      <c r="C2400" s="617">
        <v>136929.39000000001</v>
      </c>
      <c r="D2400" s="479">
        <v>200</v>
      </c>
      <c r="E2400" s="589">
        <v>254288.88</v>
      </c>
    </row>
    <row r="2401" spans="1:5" x14ac:dyDescent="0.2">
      <c r="A2401" s="728">
        <v>45603</v>
      </c>
      <c r="B2401" s="331">
        <f t="shared" si="49"/>
        <v>391123.27</v>
      </c>
      <c r="C2401" s="617">
        <v>136634.39000000001</v>
      </c>
      <c r="D2401" s="479">
        <v>200</v>
      </c>
      <c r="E2401" s="589">
        <v>254288.88</v>
      </c>
    </row>
    <row r="2402" spans="1:5" x14ac:dyDescent="0.2">
      <c r="A2402" s="728">
        <v>45603</v>
      </c>
      <c r="B2402" s="331">
        <f t="shared" si="49"/>
        <v>391105.62</v>
      </c>
      <c r="C2402" s="617">
        <v>136616.74</v>
      </c>
      <c r="D2402" s="479">
        <v>200</v>
      </c>
      <c r="E2402" s="589">
        <v>254288.88</v>
      </c>
    </row>
    <row r="2403" spans="1:5" x14ac:dyDescent="0.2">
      <c r="A2403" s="728">
        <v>45603</v>
      </c>
      <c r="B2403" s="331">
        <f t="shared" si="49"/>
        <v>390992.18</v>
      </c>
      <c r="C2403" s="617">
        <v>136503.29999999999</v>
      </c>
      <c r="D2403" s="479">
        <v>200</v>
      </c>
      <c r="E2403" s="589">
        <v>254288.88</v>
      </c>
    </row>
    <row r="2404" spans="1:5" x14ac:dyDescent="0.2">
      <c r="A2404" s="728">
        <v>45603</v>
      </c>
      <c r="B2404" s="331">
        <f t="shared" si="49"/>
        <v>390902.67000000004</v>
      </c>
      <c r="C2404" s="617">
        <v>136413.79</v>
      </c>
      <c r="D2404" s="479">
        <v>200</v>
      </c>
      <c r="E2404" s="589">
        <v>254288.88</v>
      </c>
    </row>
    <row r="2405" spans="1:5" x14ac:dyDescent="0.2">
      <c r="A2405" s="728">
        <v>45603</v>
      </c>
      <c r="B2405" s="331">
        <f t="shared" si="49"/>
        <v>390473.13</v>
      </c>
      <c r="C2405" s="617">
        <v>135984.25</v>
      </c>
      <c r="D2405" s="479">
        <v>200</v>
      </c>
      <c r="E2405" s="589">
        <v>254288.88</v>
      </c>
    </row>
    <row r="2406" spans="1:5" x14ac:dyDescent="0.2">
      <c r="A2406" s="728">
        <v>45603</v>
      </c>
      <c r="B2406" s="331">
        <f t="shared" si="49"/>
        <v>390145.12</v>
      </c>
      <c r="C2406" s="617">
        <v>135656.24</v>
      </c>
      <c r="D2406" s="479">
        <v>200</v>
      </c>
      <c r="E2406" s="589">
        <v>254288.88</v>
      </c>
    </row>
    <row r="2407" spans="1:5" x14ac:dyDescent="0.2">
      <c r="A2407" s="728">
        <v>45603</v>
      </c>
      <c r="B2407" s="331">
        <f t="shared" si="49"/>
        <v>390090.51</v>
      </c>
      <c r="C2407" s="617">
        <v>135601.63</v>
      </c>
      <c r="D2407" s="479">
        <v>200</v>
      </c>
      <c r="E2407" s="589">
        <v>254288.88</v>
      </c>
    </row>
    <row r="2408" spans="1:5" x14ac:dyDescent="0.2">
      <c r="A2408" s="728">
        <v>45603</v>
      </c>
      <c r="B2408" s="331">
        <f t="shared" si="49"/>
        <v>389964.76</v>
      </c>
      <c r="C2408" s="617">
        <v>135475.88</v>
      </c>
      <c r="D2408" s="479">
        <v>200</v>
      </c>
      <c r="E2408" s="589">
        <v>254288.88</v>
      </c>
    </row>
    <row r="2409" spans="1:5" x14ac:dyDescent="0.2">
      <c r="A2409" s="728">
        <v>45603</v>
      </c>
      <c r="B2409" s="331">
        <f t="shared" ref="B2409:B2472" si="50">C2409+D2409+E2409</f>
        <v>389830.80000000005</v>
      </c>
      <c r="C2409" s="617">
        <v>135341.92000000001</v>
      </c>
      <c r="D2409" s="479">
        <v>200</v>
      </c>
      <c r="E2409" s="589">
        <v>254288.88</v>
      </c>
    </row>
    <row r="2410" spans="1:5" x14ac:dyDescent="0.2">
      <c r="A2410" s="728">
        <v>45603</v>
      </c>
      <c r="B2410" s="331">
        <f t="shared" si="50"/>
        <v>389217.19</v>
      </c>
      <c r="C2410" s="617">
        <v>134728.31</v>
      </c>
      <c r="D2410" s="479">
        <v>200</v>
      </c>
      <c r="E2410" s="589">
        <v>254288.88</v>
      </c>
    </row>
    <row r="2411" spans="1:5" x14ac:dyDescent="0.2">
      <c r="A2411" s="728">
        <v>45603</v>
      </c>
      <c r="B2411" s="331">
        <f t="shared" si="50"/>
        <v>386663.1</v>
      </c>
      <c r="C2411" s="617">
        <v>132174.22</v>
      </c>
      <c r="D2411" s="479">
        <v>200</v>
      </c>
      <c r="E2411" s="589">
        <v>254288.88</v>
      </c>
    </row>
    <row r="2412" spans="1:5" x14ac:dyDescent="0.2">
      <c r="A2412" s="728">
        <v>45603</v>
      </c>
      <c r="B2412" s="331">
        <f t="shared" si="50"/>
        <v>386554.56</v>
      </c>
      <c r="C2412" s="617">
        <v>132065.68</v>
      </c>
      <c r="D2412" s="479">
        <v>200</v>
      </c>
      <c r="E2412" s="589">
        <v>254288.88</v>
      </c>
    </row>
    <row r="2413" spans="1:5" x14ac:dyDescent="0.2">
      <c r="A2413" s="728">
        <v>45603</v>
      </c>
      <c r="B2413" s="331">
        <f t="shared" si="50"/>
        <v>386788.56</v>
      </c>
      <c r="C2413" s="617">
        <v>132299.68</v>
      </c>
      <c r="D2413" s="479">
        <v>200</v>
      </c>
      <c r="E2413" s="589">
        <v>254288.88</v>
      </c>
    </row>
    <row r="2414" spans="1:5" x14ac:dyDescent="0.2">
      <c r="A2414" s="728">
        <v>45603</v>
      </c>
      <c r="B2414" s="331">
        <f t="shared" si="50"/>
        <v>386168.47</v>
      </c>
      <c r="C2414" s="617">
        <v>131679.59</v>
      </c>
      <c r="D2414" s="479">
        <v>200</v>
      </c>
      <c r="E2414" s="589">
        <v>254288.88</v>
      </c>
    </row>
    <row r="2415" spans="1:5" x14ac:dyDescent="0.2">
      <c r="A2415" s="728">
        <v>45604</v>
      </c>
      <c r="B2415" s="331">
        <f t="shared" si="50"/>
        <v>385817.44</v>
      </c>
      <c r="C2415" s="617">
        <v>131328.56</v>
      </c>
      <c r="D2415" s="479">
        <v>200</v>
      </c>
      <c r="E2415" s="589">
        <v>254288.88</v>
      </c>
    </row>
    <row r="2416" spans="1:5" x14ac:dyDescent="0.2">
      <c r="A2416" s="728">
        <v>45604</v>
      </c>
      <c r="B2416" s="331">
        <f t="shared" si="50"/>
        <v>388587.64</v>
      </c>
      <c r="C2416" s="617">
        <v>134098.76</v>
      </c>
      <c r="D2416" s="479">
        <v>200</v>
      </c>
      <c r="E2416" s="589">
        <v>254288.88</v>
      </c>
    </row>
    <row r="2417" spans="1:5" x14ac:dyDescent="0.2">
      <c r="A2417" s="728">
        <v>45608</v>
      </c>
      <c r="B2417" s="331">
        <f t="shared" si="50"/>
        <v>383945.64</v>
      </c>
      <c r="C2417" s="617">
        <v>129456.76</v>
      </c>
      <c r="D2417" s="479">
        <v>200</v>
      </c>
      <c r="E2417" s="589">
        <v>254288.88</v>
      </c>
    </row>
    <row r="2418" spans="1:5" x14ac:dyDescent="0.2">
      <c r="A2418" s="728">
        <v>45608</v>
      </c>
      <c r="B2418" s="331">
        <f t="shared" si="50"/>
        <v>384003.42</v>
      </c>
      <c r="C2418" s="617">
        <v>129514.54</v>
      </c>
      <c r="D2418" s="479">
        <v>200</v>
      </c>
      <c r="E2418" s="589">
        <v>254288.88</v>
      </c>
    </row>
    <row r="2419" spans="1:5" x14ac:dyDescent="0.2">
      <c r="A2419" s="728">
        <v>45608</v>
      </c>
      <c r="B2419" s="331">
        <f t="shared" si="50"/>
        <v>383718.68</v>
      </c>
      <c r="C2419" s="617">
        <v>129229.8</v>
      </c>
      <c r="D2419" s="479">
        <v>200</v>
      </c>
      <c r="E2419" s="589">
        <v>254288.88</v>
      </c>
    </row>
    <row r="2420" spans="1:5" x14ac:dyDescent="0.2">
      <c r="A2420" s="728">
        <v>45610</v>
      </c>
      <c r="B2420" s="331">
        <f t="shared" si="50"/>
        <v>383665.16000000003</v>
      </c>
      <c r="C2420" s="617">
        <v>129176.28</v>
      </c>
      <c r="D2420" s="479">
        <v>200</v>
      </c>
      <c r="E2420" s="589">
        <v>254288.88</v>
      </c>
    </row>
    <row r="2421" spans="1:5" x14ac:dyDescent="0.2">
      <c r="A2421" s="728">
        <v>45610</v>
      </c>
      <c r="B2421" s="331">
        <f t="shared" si="50"/>
        <v>383138.28</v>
      </c>
      <c r="C2421" s="617">
        <v>128649.4</v>
      </c>
      <c r="D2421" s="479">
        <v>200</v>
      </c>
      <c r="E2421" s="589">
        <v>254288.88</v>
      </c>
    </row>
    <row r="2422" spans="1:5" x14ac:dyDescent="0.2">
      <c r="A2422" s="728">
        <v>45610</v>
      </c>
      <c r="B2422" s="331">
        <f t="shared" si="50"/>
        <v>383074.28</v>
      </c>
      <c r="C2422" s="617">
        <v>128585.4</v>
      </c>
      <c r="D2422" s="479">
        <v>200</v>
      </c>
      <c r="E2422" s="589">
        <v>254288.88</v>
      </c>
    </row>
    <row r="2423" spans="1:5" x14ac:dyDescent="0.2">
      <c r="A2423" s="728">
        <v>45610</v>
      </c>
      <c r="B2423" s="331">
        <f t="shared" si="50"/>
        <v>382999.29000000004</v>
      </c>
      <c r="C2423" s="617">
        <v>128510.41</v>
      </c>
      <c r="D2423" s="479">
        <v>200</v>
      </c>
      <c r="E2423" s="589">
        <v>254288.88</v>
      </c>
    </row>
    <row r="2424" spans="1:5" x14ac:dyDescent="0.2">
      <c r="A2424" s="728">
        <v>45610</v>
      </c>
      <c r="B2424" s="331">
        <f t="shared" si="50"/>
        <v>382965.45</v>
      </c>
      <c r="C2424" s="617">
        <v>128476.57</v>
      </c>
      <c r="D2424" s="479">
        <v>200</v>
      </c>
      <c r="E2424" s="589">
        <v>254288.88</v>
      </c>
    </row>
    <row r="2425" spans="1:5" x14ac:dyDescent="0.2">
      <c r="A2425" s="728">
        <v>45610</v>
      </c>
      <c r="B2425" s="331">
        <f t="shared" si="50"/>
        <v>382960.85</v>
      </c>
      <c r="C2425" s="617">
        <v>128471.97</v>
      </c>
      <c r="D2425" s="479">
        <v>200</v>
      </c>
      <c r="E2425" s="589">
        <v>254288.88</v>
      </c>
    </row>
    <row r="2426" spans="1:5" x14ac:dyDescent="0.2">
      <c r="A2426" s="728">
        <v>45610</v>
      </c>
      <c r="B2426" s="331">
        <f t="shared" si="50"/>
        <v>382687.15</v>
      </c>
      <c r="C2426" s="617">
        <v>128198.27</v>
      </c>
      <c r="D2426" s="479">
        <v>200</v>
      </c>
      <c r="E2426" s="589">
        <v>254288.88</v>
      </c>
    </row>
    <row r="2427" spans="1:5" x14ac:dyDescent="0.2">
      <c r="A2427" s="728">
        <v>45610</v>
      </c>
      <c r="B2427" s="331">
        <f t="shared" si="50"/>
        <v>382187.15</v>
      </c>
      <c r="C2427" s="617">
        <v>127698.27</v>
      </c>
      <c r="D2427" s="479">
        <v>200</v>
      </c>
      <c r="E2427" s="589">
        <v>254288.88</v>
      </c>
    </row>
    <row r="2428" spans="1:5" x14ac:dyDescent="0.2">
      <c r="A2428" s="728">
        <v>45610</v>
      </c>
      <c r="B2428" s="331">
        <f t="shared" si="50"/>
        <v>382473.15</v>
      </c>
      <c r="C2428" s="617">
        <v>127984.27</v>
      </c>
      <c r="D2428" s="479">
        <v>200</v>
      </c>
      <c r="E2428" s="589">
        <v>254288.88</v>
      </c>
    </row>
    <row r="2429" spans="1:5" x14ac:dyDescent="0.2">
      <c r="A2429" s="728">
        <v>45610</v>
      </c>
      <c r="B2429" s="331">
        <f t="shared" si="50"/>
        <v>382473.15</v>
      </c>
      <c r="C2429" s="617">
        <v>127984.27</v>
      </c>
      <c r="D2429" s="479">
        <v>200</v>
      </c>
      <c r="E2429" s="589">
        <v>254288.88</v>
      </c>
    </row>
    <row r="2430" spans="1:5" x14ac:dyDescent="0.2">
      <c r="A2430" s="728">
        <v>45611</v>
      </c>
      <c r="B2430" s="331">
        <f t="shared" si="50"/>
        <v>382476.65</v>
      </c>
      <c r="C2430" s="617">
        <v>127987.77</v>
      </c>
      <c r="D2430" s="479">
        <v>200</v>
      </c>
      <c r="E2430" s="589">
        <v>254288.88</v>
      </c>
    </row>
    <row r="2431" spans="1:5" x14ac:dyDescent="0.2">
      <c r="A2431" s="728">
        <v>45611</v>
      </c>
      <c r="B2431" s="331">
        <f t="shared" si="50"/>
        <v>382018.3</v>
      </c>
      <c r="C2431" s="617">
        <v>127529.42</v>
      </c>
      <c r="D2431" s="479">
        <v>200</v>
      </c>
      <c r="E2431" s="589">
        <v>254288.88</v>
      </c>
    </row>
    <row r="2432" spans="1:5" x14ac:dyDescent="0.2">
      <c r="A2432" s="728">
        <v>45611</v>
      </c>
      <c r="B2432" s="331">
        <f t="shared" si="50"/>
        <v>385270.54000000004</v>
      </c>
      <c r="C2432" s="617">
        <v>130781.66</v>
      </c>
      <c r="D2432" s="479">
        <v>200</v>
      </c>
      <c r="E2432" s="589">
        <v>254288.88</v>
      </c>
    </row>
    <row r="2433" spans="1:5" x14ac:dyDescent="0.2">
      <c r="A2433" s="728">
        <v>45611</v>
      </c>
      <c r="B2433" s="331">
        <f t="shared" si="50"/>
        <v>385286.02</v>
      </c>
      <c r="C2433" s="617">
        <v>130797.14</v>
      </c>
      <c r="D2433" s="479">
        <v>200</v>
      </c>
      <c r="E2433" s="589">
        <v>254288.88</v>
      </c>
    </row>
    <row r="2434" spans="1:5" x14ac:dyDescent="0.2">
      <c r="A2434" s="728">
        <v>45615</v>
      </c>
      <c r="B2434" s="331">
        <f t="shared" si="50"/>
        <v>384920.04000000004</v>
      </c>
      <c r="C2434" s="617">
        <v>130431.16</v>
      </c>
      <c r="D2434" s="479">
        <v>200</v>
      </c>
      <c r="E2434" s="589">
        <v>254288.88</v>
      </c>
    </row>
    <row r="2435" spans="1:5" x14ac:dyDescent="0.2">
      <c r="A2435" s="728">
        <v>45615</v>
      </c>
      <c r="B2435" s="331">
        <f t="shared" si="50"/>
        <v>343105.26</v>
      </c>
      <c r="C2435" s="617">
        <v>88616.38</v>
      </c>
      <c r="D2435" s="479">
        <v>200</v>
      </c>
      <c r="E2435" s="589">
        <v>254288.88</v>
      </c>
    </row>
    <row r="2436" spans="1:5" x14ac:dyDescent="0.2">
      <c r="A2436" s="728">
        <v>45616</v>
      </c>
      <c r="B2436" s="331">
        <f t="shared" si="50"/>
        <v>340105.37</v>
      </c>
      <c r="C2436" s="617">
        <v>85616.49</v>
      </c>
      <c r="D2436" s="479">
        <v>200</v>
      </c>
      <c r="E2436" s="589">
        <v>254288.88</v>
      </c>
    </row>
    <row r="2437" spans="1:5" x14ac:dyDescent="0.2">
      <c r="A2437" s="728">
        <v>45616</v>
      </c>
      <c r="B2437" s="331">
        <f t="shared" si="50"/>
        <v>335468.29000000004</v>
      </c>
      <c r="C2437" s="617">
        <v>80979.41</v>
      </c>
      <c r="D2437" s="479">
        <v>200</v>
      </c>
      <c r="E2437" s="589">
        <v>254288.88</v>
      </c>
    </row>
    <row r="2438" spans="1:5" x14ac:dyDescent="0.2">
      <c r="A2438" s="728">
        <v>45616</v>
      </c>
      <c r="B2438" s="331">
        <f t="shared" si="50"/>
        <v>335433.94</v>
      </c>
      <c r="C2438" s="617">
        <v>80945.06</v>
      </c>
      <c r="D2438" s="479">
        <v>200</v>
      </c>
      <c r="E2438" s="589">
        <v>254288.88</v>
      </c>
    </row>
    <row r="2439" spans="1:5" x14ac:dyDescent="0.2">
      <c r="A2439" s="728">
        <v>45616</v>
      </c>
      <c r="B2439" s="331">
        <f t="shared" si="50"/>
        <v>335225.94</v>
      </c>
      <c r="C2439" s="617">
        <v>80737.06</v>
      </c>
      <c r="D2439" s="479">
        <v>200</v>
      </c>
      <c r="E2439" s="589">
        <v>254288.88</v>
      </c>
    </row>
    <row r="2440" spans="1:5" x14ac:dyDescent="0.2">
      <c r="A2440" s="728">
        <v>45616</v>
      </c>
      <c r="B2440" s="331">
        <f t="shared" si="50"/>
        <v>333447.7</v>
      </c>
      <c r="C2440" s="617">
        <v>78958.820000000007</v>
      </c>
      <c r="D2440" s="479">
        <v>200</v>
      </c>
      <c r="E2440" s="589">
        <v>254288.88</v>
      </c>
    </row>
    <row r="2441" spans="1:5" x14ac:dyDescent="0.2">
      <c r="A2441" s="728">
        <v>45616</v>
      </c>
      <c r="B2441" s="331">
        <f t="shared" si="50"/>
        <v>333350.23</v>
      </c>
      <c r="C2441" s="617">
        <v>78861.350000000006</v>
      </c>
      <c r="D2441" s="479">
        <v>200</v>
      </c>
      <c r="E2441" s="589">
        <v>254288.88</v>
      </c>
    </row>
    <row r="2442" spans="1:5" x14ac:dyDescent="0.2">
      <c r="A2442" s="728">
        <v>45616</v>
      </c>
      <c r="B2442" s="331">
        <f t="shared" si="50"/>
        <v>333173.24</v>
      </c>
      <c r="C2442" s="617">
        <v>78684.36</v>
      </c>
      <c r="D2442" s="479">
        <v>200</v>
      </c>
      <c r="E2442" s="589">
        <v>254288.88</v>
      </c>
    </row>
    <row r="2443" spans="1:5" x14ac:dyDescent="0.2">
      <c r="A2443" s="728">
        <v>45616</v>
      </c>
      <c r="B2443" s="331">
        <f t="shared" si="50"/>
        <v>332837.56</v>
      </c>
      <c r="C2443" s="617">
        <v>78348.679999999993</v>
      </c>
      <c r="D2443" s="479">
        <v>200</v>
      </c>
      <c r="E2443" s="589">
        <v>254288.88</v>
      </c>
    </row>
    <row r="2444" spans="1:5" x14ac:dyDescent="0.2">
      <c r="A2444" s="728">
        <v>45616</v>
      </c>
      <c r="B2444" s="331">
        <f t="shared" si="50"/>
        <v>332720.73</v>
      </c>
      <c r="C2444" s="617">
        <v>78231.850000000006</v>
      </c>
      <c r="D2444" s="479">
        <v>200</v>
      </c>
      <c r="E2444" s="589">
        <v>254288.88</v>
      </c>
    </row>
    <row r="2445" spans="1:5" x14ac:dyDescent="0.2">
      <c r="A2445" s="728">
        <v>45616</v>
      </c>
      <c r="B2445" s="331">
        <f t="shared" si="50"/>
        <v>331623.23</v>
      </c>
      <c r="C2445" s="617">
        <v>77134.350000000006</v>
      </c>
      <c r="D2445" s="479">
        <v>200</v>
      </c>
      <c r="E2445" s="589">
        <v>254288.88</v>
      </c>
    </row>
    <row r="2446" spans="1:5" x14ac:dyDescent="0.2">
      <c r="A2446" s="728">
        <v>45616</v>
      </c>
      <c r="B2446" s="331">
        <f t="shared" si="50"/>
        <v>331473.23</v>
      </c>
      <c r="C2446" s="617">
        <v>76984.350000000006</v>
      </c>
      <c r="D2446" s="479">
        <v>200</v>
      </c>
      <c r="E2446" s="589">
        <v>254288.88</v>
      </c>
    </row>
    <row r="2447" spans="1:5" x14ac:dyDescent="0.2">
      <c r="A2447" s="728">
        <v>45616</v>
      </c>
      <c r="B2447" s="331">
        <f t="shared" si="50"/>
        <v>331441.23</v>
      </c>
      <c r="C2447" s="617">
        <v>76952.350000000006</v>
      </c>
      <c r="D2447" s="479">
        <v>200</v>
      </c>
      <c r="E2447" s="589">
        <v>254288.88</v>
      </c>
    </row>
    <row r="2448" spans="1:5" x14ac:dyDescent="0.2">
      <c r="A2448" s="728">
        <v>45617</v>
      </c>
      <c r="B2448" s="331">
        <f t="shared" si="50"/>
        <v>331541.23</v>
      </c>
      <c r="C2448" s="617">
        <v>77052.350000000006</v>
      </c>
      <c r="D2448" s="479">
        <v>200</v>
      </c>
      <c r="E2448" s="589">
        <v>254288.88</v>
      </c>
    </row>
    <row r="2449" spans="1:5" x14ac:dyDescent="0.2">
      <c r="A2449" s="728">
        <v>45618</v>
      </c>
      <c r="B2449" s="331">
        <f t="shared" si="50"/>
        <v>331190.2</v>
      </c>
      <c r="C2449" s="617">
        <v>76701.320000000007</v>
      </c>
      <c r="D2449" s="479">
        <v>200</v>
      </c>
      <c r="E2449" s="589">
        <v>254288.88</v>
      </c>
    </row>
    <row r="2450" spans="1:5" x14ac:dyDescent="0.2">
      <c r="A2450" s="728">
        <v>45618</v>
      </c>
      <c r="B2450" s="331">
        <f t="shared" si="50"/>
        <v>331515.2</v>
      </c>
      <c r="C2450" s="617">
        <v>77026.320000000007</v>
      </c>
      <c r="D2450" s="479">
        <v>200</v>
      </c>
      <c r="E2450" s="589">
        <v>254288.88</v>
      </c>
    </row>
    <row r="2451" spans="1:5" x14ac:dyDescent="0.2">
      <c r="A2451" s="728">
        <v>45618</v>
      </c>
      <c r="B2451" s="331">
        <f t="shared" si="50"/>
        <v>335363.53000000003</v>
      </c>
      <c r="C2451" s="617">
        <v>80874.649999999994</v>
      </c>
      <c r="D2451" s="479">
        <v>200</v>
      </c>
      <c r="E2451" s="589">
        <v>254288.88</v>
      </c>
    </row>
    <row r="2452" spans="1:5" x14ac:dyDescent="0.2">
      <c r="A2452" s="728">
        <v>45622</v>
      </c>
      <c r="B2452" s="331">
        <f t="shared" si="50"/>
        <v>335214.24</v>
      </c>
      <c r="C2452" s="617">
        <v>80725.36</v>
      </c>
      <c r="D2452" s="479">
        <v>200</v>
      </c>
      <c r="E2452" s="589">
        <v>254288.88</v>
      </c>
    </row>
    <row r="2453" spans="1:5" x14ac:dyDescent="0.2">
      <c r="A2453" s="728">
        <v>45623</v>
      </c>
      <c r="B2453" s="331">
        <f t="shared" si="50"/>
        <v>334827.34999999998</v>
      </c>
      <c r="C2453" s="617">
        <v>80338.47</v>
      </c>
      <c r="D2453" s="479">
        <v>200</v>
      </c>
      <c r="E2453" s="589">
        <v>254288.88</v>
      </c>
    </row>
    <row r="2454" spans="1:5" x14ac:dyDescent="0.2">
      <c r="A2454" s="728">
        <v>45625</v>
      </c>
      <c r="B2454" s="331">
        <f t="shared" si="50"/>
        <v>370155.19999999995</v>
      </c>
      <c r="C2454" s="617">
        <v>114885.62</v>
      </c>
      <c r="D2454" s="479">
        <v>200</v>
      </c>
      <c r="E2454" s="589">
        <v>255069.58</v>
      </c>
    </row>
    <row r="2455" spans="1:5" x14ac:dyDescent="0.2">
      <c r="A2455" s="728">
        <v>45628</v>
      </c>
      <c r="B2455" s="331">
        <f t="shared" si="50"/>
        <v>329849.65000000002</v>
      </c>
      <c r="C2455" s="617">
        <v>74580.070000000007</v>
      </c>
      <c r="D2455" s="479">
        <v>200</v>
      </c>
      <c r="E2455" s="589">
        <v>255069.58</v>
      </c>
    </row>
    <row r="2456" spans="1:5" x14ac:dyDescent="0.2">
      <c r="A2456" s="728">
        <v>45629</v>
      </c>
      <c r="B2456" s="331">
        <f t="shared" si="50"/>
        <v>408608.68</v>
      </c>
      <c r="C2456" s="617">
        <v>153339.1</v>
      </c>
      <c r="D2456" s="479">
        <v>200</v>
      </c>
      <c r="E2456" s="589">
        <v>255069.58</v>
      </c>
    </row>
    <row r="2457" spans="1:5" x14ac:dyDescent="0.2">
      <c r="A2457" s="728">
        <v>45629</v>
      </c>
      <c r="B2457" s="331">
        <f t="shared" si="50"/>
        <v>408588.68</v>
      </c>
      <c r="C2457" s="617">
        <v>153319.1</v>
      </c>
      <c r="D2457" s="479">
        <v>200</v>
      </c>
      <c r="E2457" s="589">
        <v>255069.58</v>
      </c>
    </row>
    <row r="2458" spans="1:5" x14ac:dyDescent="0.2">
      <c r="A2458" s="728">
        <v>45629</v>
      </c>
      <c r="B2458" s="331">
        <f t="shared" si="50"/>
        <v>533588.67999999993</v>
      </c>
      <c r="C2458" s="617">
        <v>278319.09999999998</v>
      </c>
      <c r="D2458" s="479">
        <v>200</v>
      </c>
      <c r="E2458" s="589">
        <v>255069.58</v>
      </c>
    </row>
    <row r="2459" spans="1:5" x14ac:dyDescent="0.2">
      <c r="A2459" s="728">
        <v>45631</v>
      </c>
      <c r="B2459" s="331">
        <f t="shared" si="50"/>
        <v>533565.67999999993</v>
      </c>
      <c r="C2459" s="617">
        <v>278296.09999999998</v>
      </c>
      <c r="D2459" s="479">
        <v>200</v>
      </c>
      <c r="E2459" s="589">
        <v>255069.58</v>
      </c>
    </row>
    <row r="2460" spans="1:5" x14ac:dyDescent="0.2">
      <c r="A2460" s="728">
        <v>45631</v>
      </c>
      <c r="B2460" s="331">
        <f t="shared" si="50"/>
        <v>533415.67999999993</v>
      </c>
      <c r="C2460" s="617">
        <v>278146.09999999998</v>
      </c>
      <c r="D2460" s="479">
        <v>200</v>
      </c>
      <c r="E2460" s="589">
        <v>255069.58</v>
      </c>
    </row>
    <row r="2461" spans="1:5" x14ac:dyDescent="0.2">
      <c r="A2461" s="728">
        <v>45631</v>
      </c>
      <c r="B2461" s="331">
        <f t="shared" si="50"/>
        <v>525563.86</v>
      </c>
      <c r="C2461" s="617">
        <v>270294.28000000003</v>
      </c>
      <c r="D2461" s="479">
        <v>200</v>
      </c>
      <c r="E2461" s="589">
        <v>255069.58</v>
      </c>
    </row>
    <row r="2462" spans="1:5" x14ac:dyDescent="0.2">
      <c r="A2462" s="728">
        <v>45631</v>
      </c>
      <c r="B2462" s="331">
        <f t="shared" si="50"/>
        <v>523323.94999999995</v>
      </c>
      <c r="C2462" s="617">
        <v>268054.37</v>
      </c>
      <c r="D2462" s="479">
        <v>200</v>
      </c>
      <c r="E2462" s="589">
        <v>255069.58</v>
      </c>
    </row>
    <row r="2463" spans="1:5" x14ac:dyDescent="0.2">
      <c r="A2463" s="728">
        <v>45631</v>
      </c>
      <c r="B2463" s="331">
        <f t="shared" si="50"/>
        <v>523060.35</v>
      </c>
      <c r="C2463" s="617">
        <v>267790.77</v>
      </c>
      <c r="D2463" s="479">
        <v>200</v>
      </c>
      <c r="E2463" s="589">
        <v>255069.58</v>
      </c>
    </row>
    <row r="2464" spans="1:5" x14ac:dyDescent="0.2">
      <c r="A2464" s="728">
        <v>45631</v>
      </c>
      <c r="B2464" s="331">
        <f t="shared" si="50"/>
        <v>522972.04000000004</v>
      </c>
      <c r="C2464" s="617">
        <v>267702.46000000002</v>
      </c>
      <c r="D2464" s="479">
        <v>200</v>
      </c>
      <c r="E2464" s="589">
        <v>255069.58</v>
      </c>
    </row>
    <row r="2465" spans="1:5" x14ac:dyDescent="0.2">
      <c r="A2465" s="728">
        <v>45631</v>
      </c>
      <c r="B2465" s="331">
        <f t="shared" si="50"/>
        <v>522707.51</v>
      </c>
      <c r="C2465" s="617">
        <v>267437.93</v>
      </c>
      <c r="D2465" s="479">
        <v>200</v>
      </c>
      <c r="E2465" s="589">
        <v>255069.58</v>
      </c>
    </row>
    <row r="2466" spans="1:5" x14ac:dyDescent="0.2">
      <c r="A2466" s="728">
        <v>45631</v>
      </c>
      <c r="B2466" s="331">
        <f t="shared" si="50"/>
        <v>522092.67999999993</v>
      </c>
      <c r="C2466" s="617">
        <v>266823.09999999998</v>
      </c>
      <c r="D2466" s="479">
        <v>200</v>
      </c>
      <c r="E2466" s="589">
        <v>255069.58</v>
      </c>
    </row>
    <row r="2467" spans="1:5" x14ac:dyDescent="0.2">
      <c r="A2467" s="728">
        <v>45631</v>
      </c>
      <c r="B2467" s="331">
        <f t="shared" si="50"/>
        <v>522071.03</v>
      </c>
      <c r="C2467" s="617">
        <v>266801.45</v>
      </c>
      <c r="D2467" s="479">
        <v>200</v>
      </c>
      <c r="E2467" s="589">
        <v>255069.58</v>
      </c>
    </row>
    <row r="2468" spans="1:5" x14ac:dyDescent="0.2">
      <c r="A2468" s="728">
        <v>45631</v>
      </c>
      <c r="B2468" s="331">
        <f t="shared" si="50"/>
        <v>521537.44999999995</v>
      </c>
      <c r="C2468" s="617">
        <v>266267.87</v>
      </c>
      <c r="D2468" s="479">
        <v>200</v>
      </c>
      <c r="E2468" s="589">
        <v>255069.58</v>
      </c>
    </row>
    <row r="2469" spans="1:5" x14ac:dyDescent="0.2">
      <c r="A2469" s="728">
        <v>45631</v>
      </c>
      <c r="B2469" s="331">
        <f t="shared" si="50"/>
        <v>521107.91000000003</v>
      </c>
      <c r="C2469" s="617">
        <v>265838.33</v>
      </c>
      <c r="D2469" s="479">
        <v>200</v>
      </c>
      <c r="E2469" s="589">
        <v>255069.58</v>
      </c>
    </row>
    <row r="2470" spans="1:5" x14ac:dyDescent="0.2">
      <c r="A2470" s="728">
        <v>45631</v>
      </c>
      <c r="B2470" s="331">
        <f t="shared" si="50"/>
        <v>520990.61</v>
      </c>
      <c r="C2470" s="617">
        <v>265721.03000000003</v>
      </c>
      <c r="D2470" s="479">
        <v>200</v>
      </c>
      <c r="E2470" s="589">
        <v>255069.58</v>
      </c>
    </row>
    <row r="2471" spans="1:5" x14ac:dyDescent="0.2">
      <c r="A2471" s="728">
        <v>45631</v>
      </c>
      <c r="B2471" s="331">
        <f t="shared" si="50"/>
        <v>520378.69999999995</v>
      </c>
      <c r="C2471" s="617">
        <v>265109.12</v>
      </c>
      <c r="D2471" s="479">
        <v>200</v>
      </c>
      <c r="E2471" s="589">
        <v>255069.58</v>
      </c>
    </row>
    <row r="2472" spans="1:5" x14ac:dyDescent="0.2">
      <c r="A2472" s="728">
        <v>45631</v>
      </c>
      <c r="B2472" s="331">
        <f t="shared" si="50"/>
        <v>520320.57999999996</v>
      </c>
      <c r="C2472" s="617">
        <v>265051</v>
      </c>
      <c r="D2472" s="479">
        <v>200</v>
      </c>
      <c r="E2472" s="589">
        <v>255069.58</v>
      </c>
    </row>
    <row r="2473" spans="1:5" x14ac:dyDescent="0.2">
      <c r="A2473" s="728">
        <v>45631</v>
      </c>
      <c r="B2473" s="331">
        <f t="shared" ref="B2473:B2522" si="51">C2473+D2473+E2473</f>
        <v>534914.6</v>
      </c>
      <c r="C2473" s="617">
        <v>279645.02</v>
      </c>
      <c r="D2473" s="479">
        <v>200</v>
      </c>
      <c r="E2473" s="589">
        <v>255069.58</v>
      </c>
    </row>
    <row r="2474" spans="1:5" x14ac:dyDescent="0.2">
      <c r="A2474" s="728">
        <v>45631</v>
      </c>
      <c r="B2474" s="331">
        <f t="shared" si="51"/>
        <v>535471.51</v>
      </c>
      <c r="C2474" s="617">
        <v>280201.93</v>
      </c>
      <c r="D2474" s="479">
        <v>200</v>
      </c>
      <c r="E2474" s="589">
        <v>255069.58</v>
      </c>
    </row>
    <row r="2475" spans="1:5" x14ac:dyDescent="0.2">
      <c r="A2475" s="728">
        <v>45632</v>
      </c>
      <c r="B2475" s="331">
        <f t="shared" si="51"/>
        <v>535571.51</v>
      </c>
      <c r="C2475" s="617">
        <v>280301.93</v>
      </c>
      <c r="D2475" s="479">
        <v>200</v>
      </c>
      <c r="E2475" s="589">
        <v>255069.58</v>
      </c>
    </row>
    <row r="2476" spans="1:5" x14ac:dyDescent="0.2">
      <c r="A2476" s="728">
        <v>45632</v>
      </c>
      <c r="B2476" s="331">
        <f t="shared" si="51"/>
        <v>535220.47999999998</v>
      </c>
      <c r="C2476" s="617">
        <v>279950.90000000002</v>
      </c>
      <c r="D2476" s="479">
        <v>200</v>
      </c>
      <c r="E2476" s="589">
        <v>255069.58</v>
      </c>
    </row>
    <row r="2477" spans="1:5" x14ac:dyDescent="0.2">
      <c r="A2477" s="728">
        <v>45635</v>
      </c>
      <c r="B2477" s="331">
        <f t="shared" si="51"/>
        <v>535851.48</v>
      </c>
      <c r="C2477" s="617">
        <v>280581.90000000002</v>
      </c>
      <c r="D2477" s="479">
        <v>200</v>
      </c>
      <c r="E2477" s="589">
        <v>255069.58</v>
      </c>
    </row>
    <row r="2478" spans="1:5" x14ac:dyDescent="0.2">
      <c r="A2478" s="728">
        <v>45636</v>
      </c>
      <c r="B2478" s="331">
        <f t="shared" si="51"/>
        <v>536311.48</v>
      </c>
      <c r="C2478" s="617">
        <v>281041.90000000002</v>
      </c>
      <c r="D2478" s="479">
        <v>200</v>
      </c>
      <c r="E2478" s="589">
        <v>255069.58</v>
      </c>
    </row>
    <row r="2479" spans="1:5" x14ac:dyDescent="0.2">
      <c r="A2479" s="728">
        <v>45637</v>
      </c>
      <c r="B2479" s="331">
        <f t="shared" si="51"/>
        <v>526861.48</v>
      </c>
      <c r="C2479" s="617">
        <v>271591.90000000002</v>
      </c>
      <c r="D2479" s="479">
        <v>200</v>
      </c>
      <c r="E2479" s="589">
        <v>255069.58</v>
      </c>
    </row>
    <row r="2480" spans="1:5" x14ac:dyDescent="0.2">
      <c r="A2480" s="728">
        <v>45638</v>
      </c>
      <c r="B2480" s="331">
        <f t="shared" si="51"/>
        <v>526771.48</v>
      </c>
      <c r="C2480" s="617">
        <v>271501.90000000002</v>
      </c>
      <c r="D2480" s="479">
        <v>200</v>
      </c>
      <c r="E2480" s="589">
        <v>255069.58</v>
      </c>
    </row>
    <row r="2481" spans="1:5" x14ac:dyDescent="0.2">
      <c r="A2481" s="728">
        <v>45638</v>
      </c>
      <c r="B2481" s="331">
        <f t="shared" si="51"/>
        <v>526665.76</v>
      </c>
      <c r="C2481" s="617">
        <v>271396.18</v>
      </c>
      <c r="D2481" s="479">
        <v>200</v>
      </c>
      <c r="E2481" s="589">
        <v>255069.58</v>
      </c>
    </row>
    <row r="2482" spans="1:5" x14ac:dyDescent="0.2">
      <c r="A2482" s="728">
        <v>45638</v>
      </c>
      <c r="B2482" s="331">
        <f t="shared" si="51"/>
        <v>526579.77</v>
      </c>
      <c r="C2482" s="617">
        <v>271310.19</v>
      </c>
      <c r="D2482" s="479">
        <v>200</v>
      </c>
      <c r="E2482" s="589">
        <v>255069.58</v>
      </c>
    </row>
    <row r="2483" spans="1:5" x14ac:dyDescent="0.2">
      <c r="A2483" s="728">
        <v>45638</v>
      </c>
      <c r="B2483" s="331">
        <f t="shared" si="51"/>
        <v>526579.77</v>
      </c>
      <c r="C2483" s="617">
        <v>271310.19</v>
      </c>
      <c r="D2483" s="479">
        <v>200</v>
      </c>
      <c r="E2483" s="589">
        <v>255069.58</v>
      </c>
    </row>
    <row r="2484" spans="1:5" x14ac:dyDescent="0.2">
      <c r="A2484" s="728">
        <v>45638</v>
      </c>
      <c r="B2484" s="331">
        <f t="shared" si="51"/>
        <v>524798.53</v>
      </c>
      <c r="C2484" s="617">
        <v>269528.95</v>
      </c>
      <c r="D2484" s="479">
        <v>200</v>
      </c>
      <c r="E2484" s="589">
        <v>255069.58</v>
      </c>
    </row>
    <row r="2485" spans="1:5" x14ac:dyDescent="0.2">
      <c r="A2485" s="728">
        <v>45638</v>
      </c>
      <c r="B2485" s="331">
        <f t="shared" si="51"/>
        <v>524120.99</v>
      </c>
      <c r="C2485" s="617">
        <v>268851.40999999997</v>
      </c>
      <c r="D2485" s="479">
        <v>200</v>
      </c>
      <c r="E2485" s="589">
        <v>255069.58</v>
      </c>
    </row>
    <row r="2486" spans="1:5" x14ac:dyDescent="0.2">
      <c r="A2486" s="728">
        <v>45638</v>
      </c>
      <c r="B2486" s="331">
        <f t="shared" si="51"/>
        <v>524093.39</v>
      </c>
      <c r="C2486" s="617">
        <v>268823.81</v>
      </c>
      <c r="D2486" s="479">
        <v>200</v>
      </c>
      <c r="E2486" s="589">
        <v>255069.58</v>
      </c>
    </row>
    <row r="2487" spans="1:5" x14ac:dyDescent="0.2">
      <c r="A2487" s="728">
        <v>45638</v>
      </c>
      <c r="B2487" s="331">
        <f t="shared" si="51"/>
        <v>524072.39</v>
      </c>
      <c r="C2487" s="617">
        <v>268802.81</v>
      </c>
      <c r="D2487" s="479">
        <v>200</v>
      </c>
      <c r="E2487" s="589">
        <v>255069.58</v>
      </c>
    </row>
    <row r="2488" spans="1:5" x14ac:dyDescent="0.2">
      <c r="A2488" s="728">
        <v>45638</v>
      </c>
      <c r="B2488" s="331">
        <f t="shared" si="51"/>
        <v>524072.39</v>
      </c>
      <c r="C2488" s="617">
        <v>268802.81</v>
      </c>
      <c r="D2488" s="479">
        <v>200</v>
      </c>
      <c r="E2488" s="589">
        <v>255069.58</v>
      </c>
    </row>
    <row r="2489" spans="1:5" x14ac:dyDescent="0.2">
      <c r="A2489" s="728">
        <v>45638</v>
      </c>
      <c r="B2489" s="331">
        <f t="shared" si="51"/>
        <v>523894.11</v>
      </c>
      <c r="C2489" s="617">
        <v>268624.53000000003</v>
      </c>
      <c r="D2489" s="479">
        <v>200</v>
      </c>
      <c r="E2489" s="589">
        <v>255069.58</v>
      </c>
    </row>
    <row r="2490" spans="1:5" x14ac:dyDescent="0.2">
      <c r="A2490" s="728">
        <v>45638</v>
      </c>
      <c r="B2490" s="331">
        <f t="shared" si="51"/>
        <v>523656.66000000003</v>
      </c>
      <c r="C2490" s="617">
        <v>268387.08</v>
      </c>
      <c r="D2490" s="479">
        <v>200</v>
      </c>
      <c r="E2490" s="589">
        <v>255069.58</v>
      </c>
    </row>
    <row r="2491" spans="1:5" x14ac:dyDescent="0.2">
      <c r="A2491" s="728">
        <v>45639</v>
      </c>
      <c r="B2491" s="331">
        <f t="shared" si="51"/>
        <v>523671.15</v>
      </c>
      <c r="C2491" s="617">
        <v>268401.57</v>
      </c>
      <c r="D2491" s="479">
        <v>200</v>
      </c>
      <c r="E2491" s="589">
        <v>255069.58</v>
      </c>
    </row>
    <row r="2492" spans="1:5" x14ac:dyDescent="0.2">
      <c r="A2492" s="728">
        <v>45642</v>
      </c>
      <c r="B2492" s="331">
        <f t="shared" si="51"/>
        <v>480106.27</v>
      </c>
      <c r="C2492" s="617">
        <v>224836.69</v>
      </c>
      <c r="D2492" s="479">
        <v>200</v>
      </c>
      <c r="E2492" s="589">
        <v>255069.58</v>
      </c>
    </row>
    <row r="2493" spans="1:5" x14ac:dyDescent="0.2">
      <c r="A2493" s="728">
        <v>45644</v>
      </c>
      <c r="B2493" s="331">
        <f t="shared" si="51"/>
        <v>480052.75</v>
      </c>
      <c r="C2493" s="617">
        <v>224783.17</v>
      </c>
      <c r="D2493" s="479">
        <v>200</v>
      </c>
      <c r="E2493" s="589">
        <v>255069.58</v>
      </c>
    </row>
    <row r="2494" spans="1:5" x14ac:dyDescent="0.2">
      <c r="A2494" s="728">
        <v>45644</v>
      </c>
      <c r="B2494" s="331">
        <f t="shared" si="51"/>
        <v>479688.41</v>
      </c>
      <c r="C2494" s="617">
        <v>224418.83</v>
      </c>
      <c r="D2494" s="479">
        <v>200</v>
      </c>
      <c r="E2494" s="589">
        <v>255069.58</v>
      </c>
    </row>
    <row r="2495" spans="1:5" x14ac:dyDescent="0.2">
      <c r="A2495" s="728">
        <v>45644</v>
      </c>
      <c r="B2495" s="331">
        <f t="shared" si="51"/>
        <v>479480.41</v>
      </c>
      <c r="C2495" s="617">
        <v>224210.83</v>
      </c>
      <c r="D2495" s="479">
        <v>200</v>
      </c>
      <c r="E2495" s="589">
        <v>255069.58</v>
      </c>
    </row>
    <row r="2496" spans="1:5" x14ac:dyDescent="0.2">
      <c r="A2496" s="728">
        <v>45644</v>
      </c>
      <c r="B2496" s="331">
        <f t="shared" si="51"/>
        <v>479097.24</v>
      </c>
      <c r="C2496" s="617">
        <v>223827.66</v>
      </c>
      <c r="D2496" s="479">
        <v>200</v>
      </c>
      <c r="E2496" s="589">
        <v>255069.58</v>
      </c>
    </row>
    <row r="2497" spans="1:5" x14ac:dyDescent="0.2">
      <c r="A2497" s="728">
        <v>45644</v>
      </c>
      <c r="B2497" s="331">
        <f t="shared" si="51"/>
        <v>479093.24</v>
      </c>
      <c r="C2497" s="617">
        <v>223823.66</v>
      </c>
      <c r="D2497" s="479">
        <v>200</v>
      </c>
      <c r="E2497" s="589">
        <v>255069.58</v>
      </c>
    </row>
    <row r="2498" spans="1:5" x14ac:dyDescent="0.2">
      <c r="A2498" s="728">
        <v>45644</v>
      </c>
      <c r="B2498" s="331">
        <f t="shared" si="51"/>
        <v>479072.24</v>
      </c>
      <c r="C2498" s="617">
        <v>223802.66</v>
      </c>
      <c r="D2498" s="479">
        <v>200</v>
      </c>
      <c r="E2498" s="589">
        <v>255069.58</v>
      </c>
    </row>
    <row r="2499" spans="1:5" x14ac:dyDescent="0.2">
      <c r="A2499" s="728">
        <v>45644</v>
      </c>
      <c r="B2499" s="331">
        <f t="shared" si="51"/>
        <v>479028.4</v>
      </c>
      <c r="C2499" s="617">
        <v>223758.82</v>
      </c>
      <c r="D2499" s="479">
        <v>200</v>
      </c>
      <c r="E2499" s="589">
        <v>255069.58</v>
      </c>
    </row>
    <row r="2500" spans="1:5" x14ac:dyDescent="0.2">
      <c r="A2500" s="728">
        <v>45644</v>
      </c>
      <c r="B2500" s="331">
        <f t="shared" si="51"/>
        <v>479643.4</v>
      </c>
      <c r="C2500" s="617">
        <v>224373.82</v>
      </c>
      <c r="D2500" s="479">
        <v>200</v>
      </c>
      <c r="E2500" s="589">
        <v>255069.58</v>
      </c>
    </row>
    <row r="2501" spans="1:5" x14ac:dyDescent="0.2">
      <c r="A2501" s="728">
        <v>45644</v>
      </c>
      <c r="B2501" s="331">
        <f t="shared" si="51"/>
        <v>542279.13</v>
      </c>
      <c r="C2501" s="617">
        <v>287009.55</v>
      </c>
      <c r="D2501" s="479">
        <v>200</v>
      </c>
      <c r="E2501" s="589">
        <v>255069.58</v>
      </c>
    </row>
    <row r="2502" spans="1:5" x14ac:dyDescent="0.2">
      <c r="A2502" s="728">
        <v>45644</v>
      </c>
      <c r="B2502" s="331">
        <f t="shared" si="51"/>
        <v>541679.13</v>
      </c>
      <c r="C2502" s="617">
        <v>286409.55</v>
      </c>
      <c r="D2502" s="479">
        <v>200</v>
      </c>
      <c r="E2502" s="589">
        <v>255069.58</v>
      </c>
    </row>
    <row r="2503" spans="1:5" x14ac:dyDescent="0.2">
      <c r="A2503" s="728">
        <v>45645</v>
      </c>
      <c r="B2503" s="331">
        <f t="shared" si="51"/>
        <v>541666.38</v>
      </c>
      <c r="C2503" s="617">
        <v>286396.79999999999</v>
      </c>
      <c r="D2503" s="479">
        <v>200</v>
      </c>
      <c r="E2503" s="589">
        <v>255069.58</v>
      </c>
    </row>
    <row r="2504" spans="1:5" x14ac:dyDescent="0.2">
      <c r="A2504" s="728">
        <v>45646</v>
      </c>
      <c r="B2504" s="331">
        <f t="shared" si="51"/>
        <v>538452.99</v>
      </c>
      <c r="C2504" s="617">
        <v>283183.40999999997</v>
      </c>
      <c r="D2504" s="479">
        <v>200</v>
      </c>
      <c r="E2504" s="589">
        <v>255069.58</v>
      </c>
    </row>
    <row r="2505" spans="1:5" x14ac:dyDescent="0.2">
      <c r="A2505" s="728">
        <v>45649</v>
      </c>
      <c r="B2505" s="331">
        <f t="shared" si="51"/>
        <v>538552.99</v>
      </c>
      <c r="C2505" s="617">
        <v>283283.40999999997</v>
      </c>
      <c r="D2505" s="479">
        <v>200</v>
      </c>
      <c r="E2505" s="589">
        <v>255069.58</v>
      </c>
    </row>
    <row r="2506" spans="1:5" x14ac:dyDescent="0.2">
      <c r="A2506" s="728">
        <v>45649</v>
      </c>
      <c r="B2506" s="331">
        <f t="shared" si="51"/>
        <v>536552.99</v>
      </c>
      <c r="C2506" s="617">
        <v>281283.40999999997</v>
      </c>
      <c r="D2506" s="479">
        <v>200</v>
      </c>
      <c r="E2506" s="589">
        <v>255069.58</v>
      </c>
    </row>
    <row r="2507" spans="1:5" x14ac:dyDescent="0.2">
      <c r="A2507" s="728">
        <v>45649</v>
      </c>
      <c r="B2507" s="331">
        <f t="shared" si="51"/>
        <v>536201.63</v>
      </c>
      <c r="C2507" s="617">
        <v>280932.05</v>
      </c>
      <c r="D2507" s="479">
        <v>200</v>
      </c>
      <c r="E2507" s="589">
        <v>255069.58</v>
      </c>
    </row>
    <row r="2508" spans="1:5" x14ac:dyDescent="0.2">
      <c r="A2508" s="728">
        <v>45652</v>
      </c>
      <c r="B2508" s="331">
        <f t="shared" si="51"/>
        <v>535807.31999999995</v>
      </c>
      <c r="C2508" s="617">
        <v>280537.74</v>
      </c>
      <c r="D2508" s="479">
        <v>200</v>
      </c>
      <c r="E2508" s="589">
        <v>255069.58</v>
      </c>
    </row>
    <row r="2509" spans="1:5" x14ac:dyDescent="0.2">
      <c r="A2509" s="728">
        <v>45652</v>
      </c>
      <c r="B2509" s="331">
        <f t="shared" si="51"/>
        <v>535664.52</v>
      </c>
      <c r="C2509" s="617">
        <v>280394.94</v>
      </c>
      <c r="D2509" s="479">
        <v>200</v>
      </c>
      <c r="E2509" s="589">
        <v>255069.58</v>
      </c>
    </row>
    <row r="2510" spans="1:5" x14ac:dyDescent="0.2">
      <c r="A2510" s="728">
        <v>45652</v>
      </c>
      <c r="B2510" s="331">
        <f t="shared" si="51"/>
        <v>535761.02</v>
      </c>
      <c r="C2510" s="617">
        <v>280491.44</v>
      </c>
      <c r="D2510" s="479">
        <v>200</v>
      </c>
      <c r="E2510" s="589">
        <v>255069.58</v>
      </c>
    </row>
    <row r="2511" spans="1:5" x14ac:dyDescent="0.2">
      <c r="A2511" s="728">
        <v>45652</v>
      </c>
      <c r="B2511" s="331">
        <f t="shared" si="51"/>
        <v>536438.02</v>
      </c>
      <c r="C2511" s="617">
        <v>281168.44</v>
      </c>
      <c r="D2511" s="479">
        <v>200</v>
      </c>
      <c r="E2511" s="589">
        <v>255069.58</v>
      </c>
    </row>
    <row r="2512" spans="1:5" x14ac:dyDescent="0.2">
      <c r="A2512" s="728">
        <v>45653</v>
      </c>
      <c r="B2512" s="331">
        <f t="shared" si="51"/>
        <v>536339.53</v>
      </c>
      <c r="C2512" s="617">
        <v>281069.95</v>
      </c>
      <c r="D2512" s="479">
        <v>200</v>
      </c>
      <c r="E2512" s="589">
        <v>255069.58</v>
      </c>
    </row>
    <row r="2513" spans="1:8" x14ac:dyDescent="0.2">
      <c r="A2513" s="728">
        <v>45653</v>
      </c>
      <c r="B2513" s="331">
        <f t="shared" si="51"/>
        <v>587170.17000000004</v>
      </c>
      <c r="C2513" s="617">
        <v>331900.59000000003</v>
      </c>
      <c r="D2513" s="479">
        <v>200</v>
      </c>
      <c r="E2513" s="589">
        <v>255069.58</v>
      </c>
    </row>
    <row r="2514" spans="1:8" x14ac:dyDescent="0.2">
      <c r="A2514" s="728">
        <v>45653</v>
      </c>
      <c r="B2514" s="331">
        <f t="shared" si="51"/>
        <v>580571.54999999993</v>
      </c>
      <c r="C2514" s="617">
        <v>325301.96999999997</v>
      </c>
      <c r="D2514" s="479">
        <v>200</v>
      </c>
      <c r="E2514" s="589">
        <v>255069.58</v>
      </c>
    </row>
    <row r="2515" spans="1:8" x14ac:dyDescent="0.2">
      <c r="A2515" s="728">
        <v>45653</v>
      </c>
      <c r="B2515" s="331">
        <f t="shared" si="51"/>
        <v>580513.42999999993</v>
      </c>
      <c r="C2515" s="617">
        <v>325243.84999999998</v>
      </c>
      <c r="D2515" s="479">
        <v>200</v>
      </c>
      <c r="E2515" s="589">
        <v>255069.58</v>
      </c>
    </row>
    <row r="2516" spans="1:8" x14ac:dyDescent="0.2">
      <c r="A2516" s="728">
        <v>45653</v>
      </c>
      <c r="B2516" s="331">
        <f t="shared" si="51"/>
        <v>580071.26</v>
      </c>
      <c r="C2516" s="617">
        <v>324801.68</v>
      </c>
      <c r="D2516" s="479">
        <v>200</v>
      </c>
      <c r="E2516" s="589">
        <v>255069.58</v>
      </c>
    </row>
    <row r="2517" spans="1:8" x14ac:dyDescent="0.2">
      <c r="A2517" s="728">
        <v>45653</v>
      </c>
      <c r="B2517" s="331">
        <f t="shared" si="51"/>
        <v>580008.26</v>
      </c>
      <c r="C2517" s="617">
        <v>324738.68</v>
      </c>
      <c r="D2517" s="479">
        <v>200</v>
      </c>
      <c r="E2517" s="589">
        <v>255069.58</v>
      </c>
    </row>
    <row r="2518" spans="1:8" x14ac:dyDescent="0.2">
      <c r="A2518" s="728">
        <v>45653</v>
      </c>
      <c r="B2518" s="331">
        <f t="shared" si="51"/>
        <v>579804.6</v>
      </c>
      <c r="C2518" s="617">
        <v>324535.02</v>
      </c>
      <c r="D2518" s="479">
        <v>200</v>
      </c>
      <c r="E2518" s="589">
        <v>255069.58</v>
      </c>
    </row>
    <row r="2519" spans="1:8" x14ac:dyDescent="0.2">
      <c r="A2519" s="728">
        <v>45653</v>
      </c>
      <c r="B2519" s="331">
        <f t="shared" si="51"/>
        <v>578855.37</v>
      </c>
      <c r="C2519" s="617">
        <v>323585.78999999998</v>
      </c>
      <c r="D2519" s="479">
        <v>200</v>
      </c>
      <c r="E2519" s="589">
        <v>255069.58</v>
      </c>
    </row>
    <row r="2520" spans="1:8" x14ac:dyDescent="0.2">
      <c r="A2520" s="728">
        <v>45653</v>
      </c>
      <c r="B2520" s="331">
        <f t="shared" si="51"/>
        <v>578822.67999999993</v>
      </c>
      <c r="C2520" s="617">
        <v>323553.09999999998</v>
      </c>
      <c r="D2520" s="479">
        <v>200</v>
      </c>
      <c r="E2520" s="589">
        <v>255069.58</v>
      </c>
    </row>
    <row r="2521" spans="1:8" x14ac:dyDescent="0.2">
      <c r="A2521" s="728">
        <v>45656</v>
      </c>
      <c r="B2521" s="331">
        <f t="shared" si="51"/>
        <v>544325.26</v>
      </c>
      <c r="C2521" s="617">
        <v>288266.03000000003</v>
      </c>
      <c r="D2521" s="479">
        <v>200</v>
      </c>
      <c r="E2521" s="589">
        <v>255859.23</v>
      </c>
    </row>
    <row r="2522" spans="1:8" x14ac:dyDescent="0.2">
      <c r="A2522" s="728">
        <v>45657</v>
      </c>
      <c r="B2522" s="331">
        <f t="shared" si="51"/>
        <v>544325.26</v>
      </c>
      <c r="C2522" s="617">
        <v>288266.03000000003</v>
      </c>
      <c r="D2522" s="479">
        <v>200</v>
      </c>
      <c r="E2522" s="589">
        <v>255859.23</v>
      </c>
      <c r="G2522" t="s">
        <v>296</v>
      </c>
      <c r="H2522" s="212">
        <f>AVERAGE(B2106:B2522)</f>
        <v>486763.38853717048</v>
      </c>
    </row>
    <row r="2523" spans="1:8" x14ac:dyDescent="0.2">
      <c r="A2523" s="728">
        <v>45659</v>
      </c>
      <c r="B2523" s="331">
        <f t="shared" ref="B2523:B2554" si="52">C2523+D2523+E2523</f>
        <v>545173.66</v>
      </c>
      <c r="C2523" s="617">
        <v>289114.43</v>
      </c>
      <c r="D2523" s="479">
        <v>200</v>
      </c>
      <c r="E2523" s="589">
        <v>255859.23</v>
      </c>
    </row>
    <row r="2524" spans="1:8" x14ac:dyDescent="0.2">
      <c r="A2524" s="728">
        <v>45663</v>
      </c>
      <c r="B2524" s="331">
        <f t="shared" si="52"/>
        <v>544863.68000000005</v>
      </c>
      <c r="C2524" s="617">
        <v>288804.45</v>
      </c>
      <c r="D2524" s="479">
        <v>200</v>
      </c>
      <c r="E2524" s="589">
        <v>255859.23</v>
      </c>
    </row>
    <row r="2525" spans="1:8" x14ac:dyDescent="0.2">
      <c r="A2525" s="728">
        <v>45664</v>
      </c>
      <c r="B2525" s="331">
        <f t="shared" si="52"/>
        <v>544840.68000000005</v>
      </c>
      <c r="C2525" s="617">
        <v>288781.45</v>
      </c>
      <c r="D2525" s="479">
        <v>200</v>
      </c>
      <c r="E2525" s="589">
        <v>255859.23</v>
      </c>
    </row>
    <row r="2526" spans="1:8" x14ac:dyDescent="0.2">
      <c r="A2526" s="728">
        <v>45665</v>
      </c>
      <c r="B2526" s="331">
        <f t="shared" si="52"/>
        <v>566395.73</v>
      </c>
      <c r="C2526" s="617">
        <v>310336.5</v>
      </c>
      <c r="D2526" s="479">
        <v>200</v>
      </c>
      <c r="E2526" s="589">
        <v>255859.23</v>
      </c>
    </row>
    <row r="2527" spans="1:8" x14ac:dyDescent="0.2">
      <c r="A2527" s="728">
        <v>45671</v>
      </c>
      <c r="B2527" s="331">
        <f t="shared" si="52"/>
        <v>527044.18999999994</v>
      </c>
      <c r="C2527" s="617">
        <v>270194.21999999997</v>
      </c>
      <c r="D2527" s="479">
        <v>200</v>
      </c>
      <c r="E2527" s="589">
        <v>256649.97</v>
      </c>
    </row>
    <row r="2528" spans="1:8" x14ac:dyDescent="0.2">
      <c r="A2528" s="728">
        <v>45672</v>
      </c>
      <c r="B2528" s="331">
        <f t="shared" si="52"/>
        <v>527073.05000000005</v>
      </c>
      <c r="C2528" s="617">
        <v>270223.08</v>
      </c>
      <c r="D2528" s="479">
        <v>200</v>
      </c>
      <c r="E2528" s="589">
        <v>256649.97</v>
      </c>
    </row>
    <row r="2529" spans="1:5" x14ac:dyDescent="0.2">
      <c r="A2529" s="728">
        <v>45672</v>
      </c>
      <c r="B2529" s="331">
        <f t="shared" si="52"/>
        <v>527073.05000000005</v>
      </c>
      <c r="C2529" s="617">
        <v>270223.08</v>
      </c>
      <c r="D2529" s="479">
        <v>200</v>
      </c>
      <c r="E2529" s="589">
        <v>256649.97</v>
      </c>
    </row>
    <row r="2530" spans="1:5" x14ac:dyDescent="0.2">
      <c r="A2530" s="728">
        <v>45672</v>
      </c>
      <c r="B2530" s="331">
        <f t="shared" si="52"/>
        <v>527073.05000000005</v>
      </c>
      <c r="C2530" s="617">
        <v>270223.08</v>
      </c>
      <c r="D2530" s="479">
        <v>200</v>
      </c>
      <c r="E2530" s="589">
        <v>256649.97</v>
      </c>
    </row>
    <row r="2531" spans="1:5" x14ac:dyDescent="0.2">
      <c r="A2531" s="728">
        <v>45672</v>
      </c>
      <c r="B2531" s="331">
        <f t="shared" si="52"/>
        <v>527861.25</v>
      </c>
      <c r="C2531" s="617">
        <v>271011.28000000003</v>
      </c>
      <c r="D2531" s="479">
        <v>200</v>
      </c>
      <c r="E2531" s="589">
        <v>256649.97</v>
      </c>
    </row>
    <row r="2532" spans="1:5" x14ac:dyDescent="0.2">
      <c r="A2532" s="728">
        <v>45673</v>
      </c>
      <c r="B2532" s="331">
        <f t="shared" si="52"/>
        <v>527711.25</v>
      </c>
      <c r="C2532" s="617">
        <v>270861.28000000003</v>
      </c>
      <c r="D2532" s="479">
        <v>200</v>
      </c>
      <c r="E2532" s="589">
        <v>256649.97</v>
      </c>
    </row>
    <row r="2533" spans="1:5" x14ac:dyDescent="0.2">
      <c r="A2533" s="728">
        <v>45673</v>
      </c>
      <c r="B2533" s="331">
        <f t="shared" si="52"/>
        <v>524055.78</v>
      </c>
      <c r="C2533" s="617">
        <v>267205.81</v>
      </c>
      <c r="D2533" s="479">
        <v>200</v>
      </c>
      <c r="E2533" s="589">
        <v>256649.97</v>
      </c>
    </row>
    <row r="2534" spans="1:5" x14ac:dyDescent="0.2">
      <c r="A2534" s="728">
        <v>45673</v>
      </c>
      <c r="B2534" s="331">
        <f t="shared" si="52"/>
        <v>523966.91000000003</v>
      </c>
      <c r="C2534" s="617">
        <v>267116.94</v>
      </c>
      <c r="D2534" s="479">
        <v>200</v>
      </c>
      <c r="E2534" s="589">
        <v>256649.97</v>
      </c>
    </row>
    <row r="2535" spans="1:5" x14ac:dyDescent="0.2">
      <c r="A2535" s="728">
        <v>45673</v>
      </c>
      <c r="B2535" s="331">
        <f t="shared" si="52"/>
        <v>523289.08999999997</v>
      </c>
      <c r="C2535" s="617">
        <v>266439.12</v>
      </c>
      <c r="D2535" s="479">
        <v>200</v>
      </c>
      <c r="E2535" s="589">
        <v>256649.97</v>
      </c>
    </row>
    <row r="2536" spans="1:5" x14ac:dyDescent="0.2">
      <c r="A2536" s="728">
        <v>45673</v>
      </c>
      <c r="B2536" s="331">
        <f t="shared" si="52"/>
        <v>522707.93000000005</v>
      </c>
      <c r="C2536" s="617">
        <v>265857.96000000002</v>
      </c>
      <c r="D2536" s="479">
        <v>200</v>
      </c>
      <c r="E2536" s="589">
        <v>256649.97</v>
      </c>
    </row>
    <row r="2537" spans="1:5" x14ac:dyDescent="0.2">
      <c r="A2537" s="728">
        <v>45673</v>
      </c>
      <c r="B2537" s="331">
        <f t="shared" si="52"/>
        <v>522382.93000000005</v>
      </c>
      <c r="C2537" s="617">
        <v>265532.96000000002</v>
      </c>
      <c r="D2537" s="479">
        <v>200</v>
      </c>
      <c r="E2537" s="589">
        <v>256649.97</v>
      </c>
    </row>
    <row r="2538" spans="1:5" x14ac:dyDescent="0.2">
      <c r="A2538" s="728">
        <v>45673</v>
      </c>
      <c r="B2538" s="331">
        <f t="shared" si="52"/>
        <v>522192.53</v>
      </c>
      <c r="C2538" s="617">
        <v>265342.56</v>
      </c>
      <c r="D2538" s="479">
        <v>200</v>
      </c>
      <c r="E2538" s="589">
        <v>256649.97</v>
      </c>
    </row>
    <row r="2539" spans="1:5" x14ac:dyDescent="0.2">
      <c r="A2539" s="728">
        <v>45673</v>
      </c>
      <c r="B2539" s="331">
        <f t="shared" si="52"/>
        <v>519298.83999999997</v>
      </c>
      <c r="C2539" s="617">
        <v>262448.87</v>
      </c>
      <c r="D2539" s="479">
        <v>200</v>
      </c>
      <c r="E2539" s="589">
        <v>256649.97</v>
      </c>
    </row>
    <row r="2540" spans="1:5" x14ac:dyDescent="0.2">
      <c r="A2540" s="728">
        <v>45673</v>
      </c>
      <c r="B2540" s="331">
        <f t="shared" si="52"/>
        <v>518936.1</v>
      </c>
      <c r="C2540" s="617">
        <v>262086.13</v>
      </c>
      <c r="D2540" s="479">
        <v>200</v>
      </c>
      <c r="E2540" s="589">
        <v>256649.97</v>
      </c>
    </row>
    <row r="2541" spans="1:5" x14ac:dyDescent="0.2">
      <c r="A2541" s="728">
        <v>45673</v>
      </c>
      <c r="B2541" s="331">
        <f t="shared" si="52"/>
        <v>518661.35</v>
      </c>
      <c r="C2541" s="617">
        <v>261811.38</v>
      </c>
      <c r="D2541" s="479">
        <v>200</v>
      </c>
      <c r="E2541" s="589">
        <v>256649.97</v>
      </c>
    </row>
    <row r="2542" spans="1:5" x14ac:dyDescent="0.2">
      <c r="A2542" s="728">
        <v>45673</v>
      </c>
      <c r="B2542" s="331">
        <f t="shared" si="52"/>
        <v>518609.56</v>
      </c>
      <c r="C2542" s="617">
        <v>261759.59</v>
      </c>
      <c r="D2542" s="479">
        <v>200</v>
      </c>
      <c r="E2542" s="589">
        <v>256649.97</v>
      </c>
    </row>
    <row r="2543" spans="1:5" x14ac:dyDescent="0.2">
      <c r="A2543" s="728">
        <v>45673</v>
      </c>
      <c r="B2543" s="331">
        <f t="shared" si="52"/>
        <v>518485.12</v>
      </c>
      <c r="C2543" s="617">
        <v>261635.15</v>
      </c>
      <c r="D2543" s="479">
        <v>200</v>
      </c>
      <c r="E2543" s="589">
        <v>256649.97</v>
      </c>
    </row>
    <row r="2544" spans="1:5" x14ac:dyDescent="0.2">
      <c r="A2544" s="728">
        <v>45673</v>
      </c>
      <c r="B2544" s="331">
        <f t="shared" si="52"/>
        <v>517870.45</v>
      </c>
      <c r="C2544" s="617">
        <v>261020.48</v>
      </c>
      <c r="D2544" s="479">
        <v>200</v>
      </c>
      <c r="E2544" s="589">
        <v>256649.97</v>
      </c>
    </row>
    <row r="2545" spans="1:5" x14ac:dyDescent="0.2">
      <c r="A2545" s="728">
        <v>45673</v>
      </c>
      <c r="B2545" s="331">
        <f t="shared" si="52"/>
        <v>517570.45</v>
      </c>
      <c r="C2545" s="617">
        <v>260720.48</v>
      </c>
      <c r="D2545" s="479">
        <v>200</v>
      </c>
      <c r="E2545" s="589">
        <v>256649.97</v>
      </c>
    </row>
    <row r="2546" spans="1:5" x14ac:dyDescent="0.2">
      <c r="A2546" s="728">
        <v>45673</v>
      </c>
      <c r="B2546" s="331">
        <f t="shared" si="52"/>
        <v>517538.58999999997</v>
      </c>
      <c r="C2546" s="617">
        <v>260688.62</v>
      </c>
      <c r="D2546" s="479">
        <v>200</v>
      </c>
      <c r="E2546" s="589">
        <v>256649.97</v>
      </c>
    </row>
    <row r="2547" spans="1:5" x14ac:dyDescent="0.2">
      <c r="A2547" s="728">
        <v>45673</v>
      </c>
      <c r="B2547" s="331">
        <f t="shared" si="52"/>
        <v>517508.64</v>
      </c>
      <c r="C2547" s="617">
        <v>260658.67</v>
      </c>
      <c r="D2547" s="479">
        <v>200</v>
      </c>
      <c r="E2547" s="589">
        <v>256649.97</v>
      </c>
    </row>
    <row r="2548" spans="1:5" x14ac:dyDescent="0.2">
      <c r="A2548" s="729">
        <v>45674</v>
      </c>
      <c r="B2548" s="331">
        <f t="shared" si="52"/>
        <v>517198.66000000003</v>
      </c>
      <c r="C2548" s="730">
        <v>260348.69</v>
      </c>
      <c r="D2548" s="731">
        <v>200</v>
      </c>
      <c r="E2548" s="732">
        <v>256649.97</v>
      </c>
    </row>
    <row r="2549" spans="1:5" x14ac:dyDescent="0.2">
      <c r="A2549" s="728">
        <v>45678</v>
      </c>
      <c r="B2549" s="331">
        <f t="shared" si="52"/>
        <v>521648.66000000003</v>
      </c>
      <c r="C2549" s="617">
        <v>264798.69</v>
      </c>
      <c r="D2549" s="479">
        <v>200</v>
      </c>
      <c r="E2549" s="589">
        <v>256649.97</v>
      </c>
    </row>
    <row r="2550" spans="1:5" x14ac:dyDescent="0.2">
      <c r="A2550" s="728">
        <v>45678</v>
      </c>
      <c r="B2550" s="331">
        <f t="shared" si="52"/>
        <v>538194.97</v>
      </c>
      <c r="C2550" s="617">
        <v>281345</v>
      </c>
      <c r="D2550" s="479">
        <v>200</v>
      </c>
      <c r="E2550" s="589">
        <v>256649.97</v>
      </c>
    </row>
    <row r="2551" spans="1:5" x14ac:dyDescent="0.2">
      <c r="A2551" s="728">
        <v>45678</v>
      </c>
      <c r="B2551" s="331">
        <f t="shared" si="52"/>
        <v>551196.84</v>
      </c>
      <c r="C2551" s="617">
        <v>294346.87</v>
      </c>
      <c r="D2551" s="479">
        <v>200</v>
      </c>
      <c r="E2551" s="589">
        <v>256649.97</v>
      </c>
    </row>
    <row r="2552" spans="1:5" x14ac:dyDescent="0.2">
      <c r="A2552" s="728">
        <v>45678</v>
      </c>
      <c r="B2552" s="331">
        <f t="shared" si="52"/>
        <v>548130.44999999995</v>
      </c>
      <c r="C2552" s="617">
        <v>291280.48</v>
      </c>
      <c r="D2552" s="479">
        <v>200</v>
      </c>
      <c r="E2552" s="589">
        <v>256649.97</v>
      </c>
    </row>
    <row r="2553" spans="1:5" x14ac:dyDescent="0.2">
      <c r="A2553" s="728">
        <v>45679</v>
      </c>
      <c r="B2553" s="331">
        <f t="shared" si="52"/>
        <v>547980.44999999995</v>
      </c>
      <c r="C2553" s="617">
        <v>291130.48</v>
      </c>
      <c r="D2553" s="479">
        <v>200</v>
      </c>
      <c r="E2553" s="589">
        <v>256649.97</v>
      </c>
    </row>
    <row r="2554" spans="1:5" x14ac:dyDescent="0.2">
      <c r="A2554" s="728">
        <v>45679</v>
      </c>
      <c r="B2554" s="331">
        <f t="shared" si="52"/>
        <v>547980.44999999995</v>
      </c>
      <c r="C2554" s="617">
        <v>291130.48</v>
      </c>
      <c r="D2554" s="479">
        <v>200</v>
      </c>
      <c r="E2554" s="589">
        <v>256649.97</v>
      </c>
    </row>
    <row r="2555" spans="1:5" x14ac:dyDescent="0.2">
      <c r="A2555" s="728">
        <v>45679</v>
      </c>
      <c r="B2555" s="331">
        <f t="shared" ref="B2555:B2586" si="53">C2555+D2555+E2555</f>
        <v>547930.44999999995</v>
      </c>
      <c r="C2555" s="617">
        <v>291080.48</v>
      </c>
      <c r="D2555" s="479">
        <v>200</v>
      </c>
      <c r="E2555" s="589">
        <v>256649.97</v>
      </c>
    </row>
    <row r="2556" spans="1:5" x14ac:dyDescent="0.2">
      <c r="A2556" s="728">
        <v>45680</v>
      </c>
      <c r="B2556" s="331">
        <f t="shared" si="53"/>
        <v>568182.62</v>
      </c>
      <c r="C2556" s="617">
        <v>311332.65000000002</v>
      </c>
      <c r="D2556" s="479">
        <v>200</v>
      </c>
      <c r="E2556" s="589">
        <v>256649.97</v>
      </c>
    </row>
    <row r="2557" spans="1:5" x14ac:dyDescent="0.2">
      <c r="A2557" s="728">
        <v>45684</v>
      </c>
      <c r="B2557" s="331">
        <f t="shared" si="53"/>
        <v>567633.55000000005</v>
      </c>
      <c r="C2557" s="617">
        <v>310783.58</v>
      </c>
      <c r="D2557" s="479">
        <v>200</v>
      </c>
      <c r="E2557" s="589">
        <v>256649.97</v>
      </c>
    </row>
    <row r="2558" spans="1:5" x14ac:dyDescent="0.2">
      <c r="A2558" s="728">
        <v>45685</v>
      </c>
      <c r="B2558" s="331">
        <f t="shared" si="53"/>
        <v>532764.98</v>
      </c>
      <c r="C2558" s="617">
        <v>275915.01</v>
      </c>
      <c r="D2558" s="479">
        <v>200</v>
      </c>
      <c r="E2558" s="589">
        <v>256649.97</v>
      </c>
    </row>
    <row r="2559" spans="1:5" x14ac:dyDescent="0.2">
      <c r="A2559" s="728">
        <v>45685</v>
      </c>
      <c r="B2559" s="331">
        <f t="shared" si="53"/>
        <v>532732.29</v>
      </c>
      <c r="C2559" s="617">
        <v>275882.32</v>
      </c>
      <c r="D2559" s="479">
        <v>200</v>
      </c>
      <c r="E2559" s="589">
        <v>256649.97</v>
      </c>
    </row>
    <row r="2560" spans="1:5" x14ac:dyDescent="0.2">
      <c r="A2560" s="728">
        <v>45686</v>
      </c>
      <c r="B2560" s="331">
        <f t="shared" si="53"/>
        <v>532305.86</v>
      </c>
      <c r="C2560" s="617">
        <v>275455.89</v>
      </c>
      <c r="D2560" s="479">
        <v>200</v>
      </c>
      <c r="E2560" s="589">
        <v>256649.97</v>
      </c>
    </row>
    <row r="2561" spans="1:5" x14ac:dyDescent="0.2">
      <c r="A2561" s="728">
        <v>45686</v>
      </c>
      <c r="B2561" s="331">
        <f t="shared" si="53"/>
        <v>531883.48</v>
      </c>
      <c r="C2561" s="617">
        <v>275033.51</v>
      </c>
      <c r="D2561" s="479">
        <v>200</v>
      </c>
      <c r="E2561" s="589">
        <v>256649.97</v>
      </c>
    </row>
    <row r="2562" spans="1:5" x14ac:dyDescent="0.2">
      <c r="A2562" s="728">
        <v>45686</v>
      </c>
      <c r="B2562" s="331">
        <f t="shared" si="53"/>
        <v>531791.48</v>
      </c>
      <c r="C2562" s="617">
        <v>274941.51</v>
      </c>
      <c r="D2562" s="479">
        <v>200</v>
      </c>
      <c r="E2562" s="589">
        <v>256649.97</v>
      </c>
    </row>
    <row r="2563" spans="1:5" x14ac:dyDescent="0.2">
      <c r="A2563" s="728">
        <v>45686</v>
      </c>
      <c r="B2563" s="331">
        <f t="shared" si="53"/>
        <v>529702.51</v>
      </c>
      <c r="C2563" s="617">
        <v>272852.53999999998</v>
      </c>
      <c r="D2563" s="479">
        <v>200</v>
      </c>
      <c r="E2563" s="589">
        <v>256649.97</v>
      </c>
    </row>
    <row r="2564" spans="1:5" x14ac:dyDescent="0.2">
      <c r="A2564" s="728">
        <v>45687</v>
      </c>
      <c r="B2564" s="331">
        <f t="shared" si="53"/>
        <v>529914.51</v>
      </c>
      <c r="C2564" s="617">
        <v>273064.53999999998</v>
      </c>
      <c r="D2564" s="479">
        <v>200</v>
      </c>
      <c r="E2564" s="589">
        <v>256649.97</v>
      </c>
    </row>
    <row r="2565" spans="1:5" x14ac:dyDescent="0.2">
      <c r="A2565" s="728">
        <v>45688</v>
      </c>
      <c r="B2565" s="331">
        <f t="shared" si="53"/>
        <v>528738.86</v>
      </c>
      <c r="C2565" s="617">
        <v>271888.89</v>
      </c>
      <c r="D2565" s="479">
        <v>200</v>
      </c>
      <c r="E2565" s="589">
        <v>256649.97</v>
      </c>
    </row>
    <row r="2566" spans="1:5" x14ac:dyDescent="0.2">
      <c r="A2566" s="728">
        <v>45688</v>
      </c>
      <c r="B2566" s="331">
        <f t="shared" si="53"/>
        <v>528428.88</v>
      </c>
      <c r="C2566" s="617">
        <v>271578.90999999997</v>
      </c>
      <c r="D2566" s="479">
        <v>200</v>
      </c>
      <c r="E2566" s="589">
        <v>256649.97</v>
      </c>
    </row>
    <row r="2567" spans="1:5" x14ac:dyDescent="0.2">
      <c r="A2567" s="728">
        <v>45691</v>
      </c>
      <c r="B2567" s="331">
        <f t="shared" si="53"/>
        <v>577620.79</v>
      </c>
      <c r="C2567" s="617">
        <v>320770.82</v>
      </c>
      <c r="D2567" s="479">
        <v>200</v>
      </c>
      <c r="E2567" s="589">
        <v>256649.97</v>
      </c>
    </row>
    <row r="2568" spans="1:5" x14ac:dyDescent="0.2">
      <c r="A2568" s="728">
        <v>45691</v>
      </c>
      <c r="B2568" s="331">
        <f t="shared" si="53"/>
        <v>577570.79</v>
      </c>
      <c r="C2568" s="617">
        <v>320720.82</v>
      </c>
      <c r="D2568" s="479">
        <v>200</v>
      </c>
      <c r="E2568" s="589">
        <v>256649.97</v>
      </c>
    </row>
    <row r="2569" spans="1:5" x14ac:dyDescent="0.2">
      <c r="A2569" s="728">
        <v>45694</v>
      </c>
      <c r="B2569" s="331">
        <f t="shared" si="53"/>
        <v>577570.79</v>
      </c>
      <c r="C2569" s="617">
        <v>320720.82</v>
      </c>
      <c r="D2569" s="479">
        <v>200</v>
      </c>
      <c r="E2569" s="589">
        <v>256649.97</v>
      </c>
    </row>
    <row r="2570" spans="1:5" x14ac:dyDescent="0.2">
      <c r="A2570" s="728">
        <v>45694</v>
      </c>
      <c r="B2570" s="331">
        <f t="shared" si="53"/>
        <v>577274.67000000004</v>
      </c>
      <c r="C2570" s="617">
        <v>320424.7</v>
      </c>
      <c r="D2570" s="479">
        <v>200</v>
      </c>
      <c r="E2570" s="589">
        <v>256649.97</v>
      </c>
    </row>
    <row r="2571" spans="1:5" x14ac:dyDescent="0.2">
      <c r="A2571" s="728">
        <v>45694</v>
      </c>
      <c r="B2571" s="331">
        <f t="shared" si="53"/>
        <v>577010.17000000004</v>
      </c>
      <c r="C2571" s="617">
        <v>320160.2</v>
      </c>
      <c r="D2571" s="479">
        <v>200</v>
      </c>
      <c r="E2571" s="589">
        <v>256649.97</v>
      </c>
    </row>
    <row r="2572" spans="1:5" x14ac:dyDescent="0.2">
      <c r="A2572" s="728">
        <v>45694</v>
      </c>
      <c r="B2572" s="331">
        <f t="shared" si="53"/>
        <v>576996.14</v>
      </c>
      <c r="C2572" s="617">
        <v>320146.17</v>
      </c>
      <c r="D2572" s="479">
        <v>200</v>
      </c>
      <c r="E2572" s="589">
        <v>256649.97</v>
      </c>
    </row>
    <row r="2573" spans="1:5" x14ac:dyDescent="0.2">
      <c r="A2573" s="728">
        <v>45694</v>
      </c>
      <c r="B2573" s="331">
        <f t="shared" si="53"/>
        <v>576643.97</v>
      </c>
      <c r="C2573" s="617">
        <v>319794</v>
      </c>
      <c r="D2573" s="479">
        <v>200</v>
      </c>
      <c r="E2573" s="589">
        <v>256649.97</v>
      </c>
    </row>
    <row r="2574" spans="1:5" x14ac:dyDescent="0.2">
      <c r="A2574" s="728">
        <v>45694</v>
      </c>
      <c r="B2574" s="331">
        <f t="shared" si="53"/>
        <v>576328.97</v>
      </c>
      <c r="C2574" s="617">
        <v>319479</v>
      </c>
      <c r="D2574" s="479">
        <v>200</v>
      </c>
      <c r="E2574" s="589">
        <v>256649.97</v>
      </c>
    </row>
    <row r="2575" spans="1:5" x14ac:dyDescent="0.2">
      <c r="A2575" s="728">
        <v>45694</v>
      </c>
      <c r="B2575" s="331">
        <f t="shared" si="53"/>
        <v>575733.97</v>
      </c>
      <c r="C2575" s="617">
        <v>318884</v>
      </c>
      <c r="D2575" s="479">
        <v>200</v>
      </c>
      <c r="E2575" s="589">
        <v>256649.97</v>
      </c>
    </row>
    <row r="2576" spans="1:5" x14ac:dyDescent="0.2">
      <c r="A2576" s="728">
        <v>45694</v>
      </c>
      <c r="B2576" s="331">
        <f t="shared" si="53"/>
        <v>575608.97</v>
      </c>
      <c r="C2576" s="617">
        <v>318759</v>
      </c>
      <c r="D2576" s="479">
        <v>200</v>
      </c>
      <c r="E2576" s="589">
        <v>256649.97</v>
      </c>
    </row>
    <row r="2577" spans="1:5" x14ac:dyDescent="0.2">
      <c r="A2577" s="728">
        <v>45694</v>
      </c>
      <c r="B2577" s="331">
        <f t="shared" si="53"/>
        <v>575555.44999999995</v>
      </c>
      <c r="C2577" s="617">
        <v>318705.48</v>
      </c>
      <c r="D2577" s="479">
        <v>200</v>
      </c>
      <c r="E2577" s="589">
        <v>256649.97</v>
      </c>
    </row>
    <row r="2578" spans="1:5" x14ac:dyDescent="0.2">
      <c r="A2578" s="728">
        <v>45694</v>
      </c>
      <c r="B2578" s="331">
        <f t="shared" si="53"/>
        <v>570469.09</v>
      </c>
      <c r="C2578" s="617">
        <v>313619.12</v>
      </c>
      <c r="D2578" s="479">
        <v>200</v>
      </c>
      <c r="E2578" s="589">
        <v>256649.97</v>
      </c>
    </row>
    <row r="2579" spans="1:5" x14ac:dyDescent="0.2">
      <c r="A2579" s="728">
        <v>45694</v>
      </c>
      <c r="B2579" s="331">
        <f t="shared" si="53"/>
        <v>570358.43999999994</v>
      </c>
      <c r="C2579" s="617">
        <v>313508.46999999997</v>
      </c>
      <c r="D2579" s="479">
        <v>200</v>
      </c>
      <c r="E2579" s="589">
        <v>256649.97</v>
      </c>
    </row>
    <row r="2580" spans="1:5" x14ac:dyDescent="0.2">
      <c r="A2580" s="728">
        <v>45694</v>
      </c>
      <c r="B2580" s="331">
        <f t="shared" si="53"/>
        <v>570283.44999999995</v>
      </c>
      <c r="C2580" s="617">
        <v>313433.48</v>
      </c>
      <c r="D2580" s="479">
        <v>200</v>
      </c>
      <c r="E2580" s="589">
        <v>256649.97</v>
      </c>
    </row>
    <row r="2581" spans="1:5" x14ac:dyDescent="0.2">
      <c r="A2581" s="728">
        <v>45694</v>
      </c>
      <c r="B2581" s="331">
        <f t="shared" si="53"/>
        <v>569673.63</v>
      </c>
      <c r="C2581" s="617">
        <v>312823.65999999997</v>
      </c>
      <c r="D2581" s="479">
        <v>200</v>
      </c>
      <c r="E2581" s="589">
        <v>256649.97</v>
      </c>
    </row>
    <row r="2582" spans="1:5" x14ac:dyDescent="0.2">
      <c r="A2582" s="728">
        <v>45694</v>
      </c>
      <c r="B2582" s="331">
        <f t="shared" si="53"/>
        <v>569655.98</v>
      </c>
      <c r="C2582" s="617">
        <v>312806.01</v>
      </c>
      <c r="D2582" s="479">
        <v>200</v>
      </c>
      <c r="E2582" s="589">
        <v>256649.97</v>
      </c>
    </row>
    <row r="2583" spans="1:5" x14ac:dyDescent="0.2">
      <c r="A2583" s="728">
        <v>45694</v>
      </c>
      <c r="B2583" s="331">
        <f t="shared" si="53"/>
        <v>569634.98</v>
      </c>
      <c r="C2583" s="617">
        <v>312785.01</v>
      </c>
      <c r="D2583" s="479">
        <v>200</v>
      </c>
      <c r="E2583" s="589">
        <v>256649.97</v>
      </c>
    </row>
    <row r="2584" spans="1:5" x14ac:dyDescent="0.2">
      <c r="A2584" s="728">
        <v>45694</v>
      </c>
      <c r="B2584" s="331">
        <f t="shared" si="53"/>
        <v>569507.01</v>
      </c>
      <c r="C2584" s="617">
        <v>312657.03999999998</v>
      </c>
      <c r="D2584" s="479">
        <v>200</v>
      </c>
      <c r="E2584" s="589">
        <v>256649.97</v>
      </c>
    </row>
    <row r="2585" spans="1:5" x14ac:dyDescent="0.2">
      <c r="A2585" s="728">
        <v>45694</v>
      </c>
      <c r="B2585" s="331">
        <f t="shared" si="53"/>
        <v>569357.01</v>
      </c>
      <c r="C2585" s="617">
        <v>312507.03999999998</v>
      </c>
      <c r="D2585" s="479">
        <v>200</v>
      </c>
      <c r="E2585" s="589">
        <v>256649.97</v>
      </c>
    </row>
    <row r="2586" spans="1:5" x14ac:dyDescent="0.2">
      <c r="A2586" s="728">
        <v>45694</v>
      </c>
      <c r="B2586" s="331">
        <f t="shared" si="53"/>
        <v>569207.01</v>
      </c>
      <c r="C2586" s="617">
        <v>312357.03999999998</v>
      </c>
      <c r="D2586" s="479">
        <v>200</v>
      </c>
      <c r="E2586" s="589">
        <v>256649.97</v>
      </c>
    </row>
    <row r="2587" spans="1:5" x14ac:dyDescent="0.2">
      <c r="A2587" s="728">
        <v>45694</v>
      </c>
      <c r="B2587" s="331">
        <f t="shared" ref="B2587:B2618" si="54">C2587+D2587+E2587</f>
        <v>569172.51</v>
      </c>
      <c r="C2587" s="617">
        <v>312322.53999999998</v>
      </c>
      <c r="D2587" s="479">
        <v>200</v>
      </c>
      <c r="E2587" s="589">
        <v>256649.97</v>
      </c>
    </row>
    <row r="2588" spans="1:5" x14ac:dyDescent="0.2">
      <c r="A2588" s="728">
        <v>45695</v>
      </c>
      <c r="B2588" s="331">
        <f t="shared" si="54"/>
        <v>569717.51</v>
      </c>
      <c r="C2588" s="617">
        <v>312867.53999999998</v>
      </c>
      <c r="D2588" s="479">
        <v>200</v>
      </c>
      <c r="E2588" s="589">
        <v>256649.97</v>
      </c>
    </row>
    <row r="2589" spans="1:5" x14ac:dyDescent="0.2">
      <c r="A2589" s="728">
        <v>45695</v>
      </c>
      <c r="B2589" s="331">
        <f t="shared" si="54"/>
        <v>570147.51</v>
      </c>
      <c r="C2589" s="617">
        <v>313297.53999999998</v>
      </c>
      <c r="D2589" s="479">
        <v>200</v>
      </c>
      <c r="E2589" s="589">
        <v>256649.97</v>
      </c>
    </row>
    <row r="2590" spans="1:5" x14ac:dyDescent="0.2">
      <c r="A2590" s="728">
        <v>45699</v>
      </c>
      <c r="B2590" s="331">
        <f t="shared" si="54"/>
        <v>535120.71</v>
      </c>
      <c r="C2590" s="617">
        <v>278270.74</v>
      </c>
      <c r="D2590" s="479">
        <v>200</v>
      </c>
      <c r="E2590" s="589">
        <v>256649.97</v>
      </c>
    </row>
    <row r="2591" spans="1:5" x14ac:dyDescent="0.2">
      <c r="A2591" s="728">
        <v>45700</v>
      </c>
      <c r="B2591" s="331">
        <f t="shared" si="54"/>
        <v>535486.71</v>
      </c>
      <c r="C2591" s="617">
        <v>278636.74</v>
      </c>
      <c r="D2591" s="479">
        <v>200</v>
      </c>
      <c r="E2591" s="589">
        <v>256649.97</v>
      </c>
    </row>
    <row r="2592" spans="1:5" x14ac:dyDescent="0.2">
      <c r="A2592" s="728">
        <v>45701</v>
      </c>
      <c r="B2592" s="331">
        <f t="shared" si="54"/>
        <v>535516.71</v>
      </c>
      <c r="C2592" s="617">
        <v>278666.74</v>
      </c>
      <c r="D2592" s="479">
        <v>200</v>
      </c>
      <c r="E2592" s="589">
        <v>256649.97</v>
      </c>
    </row>
    <row r="2593" spans="1:5" x14ac:dyDescent="0.2">
      <c r="A2593" s="728">
        <v>45701</v>
      </c>
      <c r="B2593" s="331">
        <f t="shared" si="54"/>
        <v>536161.71</v>
      </c>
      <c r="C2593" s="617">
        <v>279311.74</v>
      </c>
      <c r="D2593" s="479">
        <v>200</v>
      </c>
      <c r="E2593" s="589">
        <v>256649.97</v>
      </c>
    </row>
    <row r="2594" spans="1:5" x14ac:dyDescent="0.2">
      <c r="A2594" s="728">
        <v>45701</v>
      </c>
      <c r="B2594" s="331">
        <f t="shared" si="54"/>
        <v>550880.04</v>
      </c>
      <c r="C2594" s="617">
        <v>294030.07</v>
      </c>
      <c r="D2594" s="479">
        <v>200</v>
      </c>
      <c r="E2594" s="589">
        <v>256649.97</v>
      </c>
    </row>
    <row r="2595" spans="1:5" x14ac:dyDescent="0.2">
      <c r="A2595" s="728">
        <v>45701</v>
      </c>
      <c r="B2595" s="331">
        <f t="shared" si="54"/>
        <v>550830.04</v>
      </c>
      <c r="C2595" s="617">
        <v>293980.07</v>
      </c>
      <c r="D2595" s="479">
        <v>200</v>
      </c>
      <c r="E2595" s="589">
        <v>256649.97</v>
      </c>
    </row>
    <row r="2596" spans="1:5" x14ac:dyDescent="0.2">
      <c r="A2596" s="728">
        <v>45701</v>
      </c>
      <c r="B2596" s="331">
        <f t="shared" si="54"/>
        <v>547456.56999999995</v>
      </c>
      <c r="C2596" s="617">
        <v>290606.59999999998</v>
      </c>
      <c r="D2596" s="479">
        <v>200</v>
      </c>
      <c r="E2596" s="589">
        <v>256649.97</v>
      </c>
    </row>
    <row r="2597" spans="1:5" x14ac:dyDescent="0.2">
      <c r="A2597" s="728">
        <v>45701</v>
      </c>
      <c r="B2597" s="331">
        <f t="shared" si="54"/>
        <v>547019.71</v>
      </c>
      <c r="C2597" s="617">
        <v>290169.74</v>
      </c>
      <c r="D2597" s="479">
        <v>200</v>
      </c>
      <c r="E2597" s="589">
        <v>256649.97</v>
      </c>
    </row>
    <row r="2598" spans="1:5" x14ac:dyDescent="0.2">
      <c r="A2598" s="728">
        <v>45701</v>
      </c>
      <c r="B2598" s="331">
        <f t="shared" si="54"/>
        <v>546958.80000000005</v>
      </c>
      <c r="C2598" s="617">
        <v>290108.83</v>
      </c>
      <c r="D2598" s="479">
        <v>200</v>
      </c>
      <c r="E2598" s="589">
        <v>256649.97</v>
      </c>
    </row>
    <row r="2599" spans="1:5" x14ac:dyDescent="0.2">
      <c r="A2599" s="728">
        <v>45701</v>
      </c>
      <c r="B2599" s="331">
        <f t="shared" si="54"/>
        <v>546637.5</v>
      </c>
      <c r="C2599" s="617">
        <v>289787.53000000003</v>
      </c>
      <c r="D2599" s="479">
        <v>200</v>
      </c>
      <c r="E2599" s="589">
        <v>256649.97</v>
      </c>
    </row>
    <row r="2600" spans="1:5" x14ac:dyDescent="0.2">
      <c r="A2600" s="728">
        <v>45701</v>
      </c>
      <c r="B2600" s="331">
        <f t="shared" si="54"/>
        <v>546198.81999999995</v>
      </c>
      <c r="C2600" s="617">
        <v>289348.84999999998</v>
      </c>
      <c r="D2600" s="479">
        <v>200</v>
      </c>
      <c r="E2600" s="589">
        <v>256649.97</v>
      </c>
    </row>
    <row r="2601" spans="1:5" x14ac:dyDescent="0.2">
      <c r="A2601" s="728">
        <v>45701</v>
      </c>
      <c r="B2601" s="331">
        <f t="shared" si="54"/>
        <v>546125.53</v>
      </c>
      <c r="C2601" s="617">
        <v>289275.56</v>
      </c>
      <c r="D2601" s="479">
        <v>200</v>
      </c>
      <c r="E2601" s="589">
        <v>256649.97</v>
      </c>
    </row>
    <row r="2602" spans="1:5" x14ac:dyDescent="0.2">
      <c r="A2602" s="728">
        <v>45701</v>
      </c>
      <c r="B2602" s="331">
        <f t="shared" si="54"/>
        <v>546000.24</v>
      </c>
      <c r="C2602" s="617">
        <v>289150.27</v>
      </c>
      <c r="D2602" s="479">
        <v>200</v>
      </c>
      <c r="E2602" s="589">
        <v>256649.97</v>
      </c>
    </row>
    <row r="2603" spans="1:5" x14ac:dyDescent="0.2">
      <c r="A2603" s="728">
        <v>45701</v>
      </c>
      <c r="B2603" s="331">
        <f t="shared" si="54"/>
        <v>545896.64</v>
      </c>
      <c r="C2603" s="617">
        <v>289046.67</v>
      </c>
      <c r="D2603" s="479">
        <v>200</v>
      </c>
      <c r="E2603" s="589">
        <v>256649.97</v>
      </c>
    </row>
    <row r="2604" spans="1:5" x14ac:dyDescent="0.2">
      <c r="A2604" s="728">
        <v>45702</v>
      </c>
      <c r="B2604" s="331">
        <f t="shared" si="54"/>
        <v>545923.49</v>
      </c>
      <c r="C2604" s="617">
        <v>289073.52</v>
      </c>
      <c r="D2604" s="479">
        <v>200</v>
      </c>
      <c r="E2604" s="589">
        <v>256649.97</v>
      </c>
    </row>
    <row r="2605" spans="1:5" x14ac:dyDescent="0.2">
      <c r="A2605" s="728">
        <v>45706</v>
      </c>
      <c r="B2605" s="331">
        <f t="shared" si="54"/>
        <v>545642.31999999995</v>
      </c>
      <c r="C2605" s="617">
        <v>288792.34999999998</v>
      </c>
      <c r="D2605" s="479">
        <v>200</v>
      </c>
      <c r="E2605" s="589">
        <v>256649.97</v>
      </c>
    </row>
    <row r="2606" spans="1:5" x14ac:dyDescent="0.2">
      <c r="A2606" s="728">
        <v>45708</v>
      </c>
      <c r="B2606" s="331">
        <f t="shared" si="54"/>
        <v>562800.30000000005</v>
      </c>
      <c r="C2606" s="617">
        <v>305950.33</v>
      </c>
      <c r="D2606" s="479">
        <v>200</v>
      </c>
      <c r="E2606" s="589">
        <v>256649.97</v>
      </c>
    </row>
    <row r="2607" spans="1:5" x14ac:dyDescent="0.2">
      <c r="A2607" s="728">
        <v>45708</v>
      </c>
      <c r="B2607" s="331">
        <f t="shared" si="54"/>
        <v>559882.41</v>
      </c>
      <c r="C2607" s="617">
        <v>303032.44</v>
      </c>
      <c r="D2607" s="479">
        <v>200</v>
      </c>
      <c r="E2607" s="589">
        <v>256649.97</v>
      </c>
    </row>
    <row r="2608" spans="1:5" x14ac:dyDescent="0.2">
      <c r="A2608" s="728">
        <v>45709</v>
      </c>
      <c r="B2608" s="331">
        <f t="shared" si="54"/>
        <v>559828.89</v>
      </c>
      <c r="C2608" s="617">
        <v>302978.92</v>
      </c>
      <c r="D2608" s="479">
        <v>200</v>
      </c>
      <c r="E2608" s="589">
        <v>256649.97</v>
      </c>
    </row>
    <row r="2609" spans="1:5" x14ac:dyDescent="0.2">
      <c r="A2609" s="728">
        <v>45709</v>
      </c>
      <c r="B2609" s="331">
        <f t="shared" si="54"/>
        <v>559618.99</v>
      </c>
      <c r="C2609" s="617">
        <v>302769.02</v>
      </c>
      <c r="D2609" s="479">
        <v>200</v>
      </c>
      <c r="E2609" s="589">
        <v>256649.97</v>
      </c>
    </row>
    <row r="2610" spans="1:5" x14ac:dyDescent="0.2">
      <c r="A2610" s="728">
        <v>45709</v>
      </c>
      <c r="B2610" s="331">
        <f t="shared" si="54"/>
        <v>553735.16</v>
      </c>
      <c r="C2610" s="617">
        <v>296885.19</v>
      </c>
      <c r="D2610" s="479">
        <v>200</v>
      </c>
      <c r="E2610" s="589">
        <v>256649.97</v>
      </c>
    </row>
    <row r="2611" spans="1:5" x14ac:dyDescent="0.2">
      <c r="A2611" s="728">
        <v>45709</v>
      </c>
      <c r="B2611" s="331">
        <f t="shared" si="54"/>
        <v>553600.16</v>
      </c>
      <c r="C2611" s="617">
        <v>296750.19</v>
      </c>
      <c r="D2611" s="479">
        <v>200</v>
      </c>
      <c r="E2611" s="589">
        <v>256649.97</v>
      </c>
    </row>
    <row r="2612" spans="1:5" x14ac:dyDescent="0.2">
      <c r="A2612" s="728">
        <v>45709</v>
      </c>
      <c r="B2612" s="331">
        <f t="shared" si="54"/>
        <v>553214.66</v>
      </c>
      <c r="C2612" s="617">
        <v>296364.69</v>
      </c>
      <c r="D2612" s="479">
        <v>200</v>
      </c>
      <c r="E2612" s="589">
        <v>256649.97</v>
      </c>
    </row>
    <row r="2613" spans="1:5" x14ac:dyDescent="0.2">
      <c r="A2613" s="728">
        <v>45709</v>
      </c>
      <c r="B2613" s="331">
        <f t="shared" si="54"/>
        <v>552947.65</v>
      </c>
      <c r="C2613" s="617">
        <v>296097.68</v>
      </c>
      <c r="D2613" s="479">
        <v>200</v>
      </c>
      <c r="E2613" s="589">
        <v>256649.97</v>
      </c>
    </row>
    <row r="2614" spans="1:5" x14ac:dyDescent="0.2">
      <c r="A2614" s="728">
        <v>45709</v>
      </c>
      <c r="B2614" s="331">
        <f t="shared" si="54"/>
        <v>552282.37</v>
      </c>
      <c r="C2614" s="617">
        <v>295432.40000000002</v>
      </c>
      <c r="D2614" s="479">
        <v>200</v>
      </c>
      <c r="E2614" s="589">
        <v>256649.97</v>
      </c>
    </row>
    <row r="2615" spans="1:5" x14ac:dyDescent="0.2">
      <c r="A2615" s="728">
        <v>45709</v>
      </c>
      <c r="B2615" s="331">
        <f t="shared" si="54"/>
        <v>552240.38</v>
      </c>
      <c r="C2615" s="617">
        <v>295390.40999999997</v>
      </c>
      <c r="D2615" s="479">
        <v>200</v>
      </c>
      <c r="E2615" s="589">
        <v>256649.97</v>
      </c>
    </row>
    <row r="2616" spans="1:5" x14ac:dyDescent="0.2">
      <c r="A2616" s="728">
        <v>45709</v>
      </c>
      <c r="B2616" s="331">
        <f t="shared" si="54"/>
        <v>548111.06000000006</v>
      </c>
      <c r="C2616" s="617">
        <v>291261.09000000003</v>
      </c>
      <c r="D2616" s="479">
        <v>200</v>
      </c>
      <c r="E2616" s="589">
        <v>256649.97</v>
      </c>
    </row>
    <row r="2617" spans="1:5" x14ac:dyDescent="0.2">
      <c r="A2617" s="728">
        <v>45709</v>
      </c>
      <c r="B2617" s="331">
        <f t="shared" si="54"/>
        <v>547875.62</v>
      </c>
      <c r="C2617" s="617">
        <v>291025.65000000002</v>
      </c>
      <c r="D2617" s="479">
        <v>200</v>
      </c>
      <c r="E2617" s="589">
        <v>256649.97</v>
      </c>
    </row>
    <row r="2618" spans="1:5" x14ac:dyDescent="0.2">
      <c r="A2618" s="728">
        <v>45709</v>
      </c>
      <c r="B2618" s="331">
        <f t="shared" si="54"/>
        <v>547830.63</v>
      </c>
      <c r="C2618" s="617">
        <v>290980.65999999997</v>
      </c>
      <c r="D2618" s="479">
        <v>200</v>
      </c>
      <c r="E2618" s="589">
        <v>256649.97</v>
      </c>
    </row>
    <row r="2619" spans="1:5" x14ac:dyDescent="0.2">
      <c r="A2619" s="728">
        <v>45709</v>
      </c>
      <c r="B2619" s="331">
        <f t="shared" ref="B2619:B2638" si="55">C2619+D2619+E2619</f>
        <v>547450.31000000006</v>
      </c>
      <c r="C2619" s="617">
        <v>290600.34000000003</v>
      </c>
      <c r="D2619" s="479">
        <v>200</v>
      </c>
      <c r="E2619" s="589">
        <v>256649.97</v>
      </c>
    </row>
    <row r="2620" spans="1:5" x14ac:dyDescent="0.2">
      <c r="A2620" s="728">
        <v>45709</v>
      </c>
      <c r="B2620" s="331">
        <f t="shared" si="55"/>
        <v>540835.31000000006</v>
      </c>
      <c r="C2620" s="617">
        <v>283985.34000000003</v>
      </c>
      <c r="D2620" s="479">
        <v>200</v>
      </c>
      <c r="E2620" s="589">
        <v>256649.97</v>
      </c>
    </row>
    <row r="2621" spans="1:5" x14ac:dyDescent="0.2">
      <c r="A2621" s="728">
        <v>45709</v>
      </c>
      <c r="B2621" s="331">
        <f t="shared" si="55"/>
        <v>540221.63</v>
      </c>
      <c r="C2621" s="617">
        <v>283371.65999999997</v>
      </c>
      <c r="D2621" s="479">
        <v>200</v>
      </c>
      <c r="E2621" s="589">
        <v>256649.97</v>
      </c>
    </row>
    <row r="2622" spans="1:5" x14ac:dyDescent="0.2">
      <c r="A2622" s="728">
        <v>45709</v>
      </c>
      <c r="B2622" s="331">
        <f t="shared" si="55"/>
        <v>540132.65</v>
      </c>
      <c r="C2622" s="617">
        <v>283282.68</v>
      </c>
      <c r="D2622" s="479">
        <v>200</v>
      </c>
      <c r="E2622" s="589">
        <v>256649.97</v>
      </c>
    </row>
    <row r="2623" spans="1:5" x14ac:dyDescent="0.2">
      <c r="A2623" s="728">
        <v>45709</v>
      </c>
      <c r="B2623" s="331">
        <f t="shared" si="55"/>
        <v>540060.18000000005</v>
      </c>
      <c r="C2623" s="617">
        <v>283210.21000000002</v>
      </c>
      <c r="D2623" s="479">
        <v>200</v>
      </c>
      <c r="E2623" s="589">
        <v>256649.97</v>
      </c>
    </row>
    <row r="2624" spans="1:5" x14ac:dyDescent="0.2">
      <c r="A2624" s="728">
        <v>45709</v>
      </c>
      <c r="B2624" s="331">
        <f t="shared" si="55"/>
        <v>563798.29</v>
      </c>
      <c r="C2624" s="617">
        <v>306948.32</v>
      </c>
      <c r="D2624" s="479">
        <v>200</v>
      </c>
      <c r="E2624" s="589">
        <v>256649.97</v>
      </c>
    </row>
    <row r="2625" spans="1:5" x14ac:dyDescent="0.2">
      <c r="A2625" s="728">
        <v>45712</v>
      </c>
      <c r="B2625" s="331">
        <f t="shared" si="55"/>
        <v>562950.29</v>
      </c>
      <c r="C2625" s="617">
        <v>306100.32</v>
      </c>
      <c r="D2625" s="479">
        <v>200</v>
      </c>
      <c r="E2625" s="589">
        <v>256649.97</v>
      </c>
    </row>
    <row r="2626" spans="1:5" x14ac:dyDescent="0.2">
      <c r="A2626" s="728">
        <v>45712</v>
      </c>
      <c r="B2626" s="331">
        <f t="shared" si="55"/>
        <v>561244.29</v>
      </c>
      <c r="C2626" s="617">
        <v>304394.32</v>
      </c>
      <c r="D2626" s="479">
        <v>200</v>
      </c>
      <c r="E2626" s="589">
        <v>256649.97</v>
      </c>
    </row>
    <row r="2627" spans="1:5" x14ac:dyDescent="0.2">
      <c r="A2627" s="728">
        <v>45713</v>
      </c>
      <c r="B2627" s="331">
        <f t="shared" si="55"/>
        <v>528536.19999999995</v>
      </c>
      <c r="C2627" s="617">
        <v>271686.23</v>
      </c>
      <c r="D2627" s="479">
        <v>200</v>
      </c>
      <c r="E2627" s="589">
        <v>256649.97</v>
      </c>
    </row>
    <row r="2628" spans="1:5" x14ac:dyDescent="0.2">
      <c r="A2628" s="728">
        <v>45713</v>
      </c>
      <c r="B2628" s="331">
        <f t="shared" si="55"/>
        <v>528521.19999999995</v>
      </c>
      <c r="C2628" s="617">
        <v>271671.23</v>
      </c>
      <c r="D2628" s="479">
        <v>200</v>
      </c>
      <c r="E2628" s="589">
        <v>256649.97</v>
      </c>
    </row>
    <row r="2629" spans="1:5" x14ac:dyDescent="0.2">
      <c r="A2629" s="728">
        <v>45714</v>
      </c>
      <c r="B2629" s="331">
        <f t="shared" si="55"/>
        <v>528488.51</v>
      </c>
      <c r="C2629" s="617">
        <v>271638.53999999998</v>
      </c>
      <c r="D2629" s="479">
        <v>200</v>
      </c>
      <c r="E2629" s="589">
        <v>256649.97</v>
      </c>
    </row>
    <row r="2630" spans="1:5" x14ac:dyDescent="0.2">
      <c r="A2630" s="728">
        <v>45714</v>
      </c>
      <c r="B2630" s="331">
        <f t="shared" si="55"/>
        <v>528092.85</v>
      </c>
      <c r="C2630" s="617">
        <v>271242.88</v>
      </c>
      <c r="D2630" s="479">
        <v>200</v>
      </c>
      <c r="E2630" s="589">
        <v>256649.97</v>
      </c>
    </row>
    <row r="2631" spans="1:5" x14ac:dyDescent="0.2">
      <c r="A2631" s="728">
        <v>45715</v>
      </c>
      <c r="B2631" s="331">
        <f t="shared" si="55"/>
        <v>522112.78</v>
      </c>
      <c r="C2631" s="617">
        <v>265262.81</v>
      </c>
      <c r="D2631" s="479">
        <v>200</v>
      </c>
      <c r="E2631" s="589">
        <v>256649.97</v>
      </c>
    </row>
    <row r="2632" spans="1:5" x14ac:dyDescent="0.2">
      <c r="A2632" s="728">
        <v>45715</v>
      </c>
      <c r="B2632" s="331">
        <f t="shared" si="55"/>
        <v>522302.78</v>
      </c>
      <c r="C2632" s="617">
        <v>265452.81</v>
      </c>
      <c r="D2632" s="479">
        <v>200</v>
      </c>
      <c r="E2632" s="589">
        <v>256649.97</v>
      </c>
    </row>
    <row r="2633" spans="1:5" x14ac:dyDescent="0.2">
      <c r="A2633" s="728">
        <v>45715</v>
      </c>
      <c r="B2633" s="331">
        <f t="shared" si="55"/>
        <v>522372.78</v>
      </c>
      <c r="C2633" s="617">
        <v>265522.81</v>
      </c>
      <c r="D2633" s="479">
        <v>200</v>
      </c>
      <c r="E2633" s="589">
        <v>256649.97</v>
      </c>
    </row>
    <row r="2634" spans="1:5" x14ac:dyDescent="0.2">
      <c r="A2634" s="728">
        <v>45715</v>
      </c>
      <c r="B2634" s="331">
        <f>C2634+D2634+E2634</f>
        <v>522482.78</v>
      </c>
      <c r="C2634" s="617">
        <v>265632.81</v>
      </c>
      <c r="D2634" s="479">
        <v>200</v>
      </c>
      <c r="E2634" s="589">
        <v>256649.97</v>
      </c>
    </row>
    <row r="2635" spans="1:5" x14ac:dyDescent="0.2">
      <c r="A2635" s="728">
        <v>45715</v>
      </c>
      <c r="B2635" s="331">
        <f t="shared" si="55"/>
        <v>522717.78</v>
      </c>
      <c r="C2635" s="617">
        <v>265867.81</v>
      </c>
      <c r="D2635" s="479">
        <v>200</v>
      </c>
      <c r="E2635" s="589">
        <v>256649.97</v>
      </c>
    </row>
    <row r="2636" spans="1:5" x14ac:dyDescent="0.2">
      <c r="A2636" s="728">
        <v>45715</v>
      </c>
      <c r="B2636" s="331">
        <f t="shared" si="55"/>
        <v>522722.78</v>
      </c>
      <c r="C2636" s="617">
        <v>265872.81</v>
      </c>
      <c r="D2636" s="479">
        <v>200</v>
      </c>
      <c r="E2636" s="589">
        <v>256649.97</v>
      </c>
    </row>
    <row r="2637" spans="1:5" x14ac:dyDescent="0.2">
      <c r="A2637" s="728">
        <v>45715</v>
      </c>
      <c r="B2637" s="331">
        <f t="shared" si="55"/>
        <v>522757.78</v>
      </c>
      <c r="C2637" s="617">
        <v>265907.81</v>
      </c>
      <c r="D2637" s="479">
        <v>200</v>
      </c>
      <c r="E2637" s="589">
        <v>256649.97</v>
      </c>
    </row>
    <row r="2638" spans="1:5" x14ac:dyDescent="0.2">
      <c r="A2638" s="728">
        <v>45715</v>
      </c>
      <c r="B2638" s="331">
        <f t="shared" si="55"/>
        <v>562635.17000000004</v>
      </c>
      <c r="C2638" s="617">
        <v>305785.2</v>
      </c>
      <c r="D2638" s="479">
        <v>200</v>
      </c>
      <c r="E2638" s="589">
        <v>256649.97</v>
      </c>
    </row>
    <row r="2639" spans="1:5" x14ac:dyDescent="0.2">
      <c r="A2639" s="763" t="s">
        <v>297</v>
      </c>
      <c r="B2639" s="331">
        <f t="shared" ref="B2639:B2647" si="56">C2639+D2639+E2639</f>
        <v>562452.68000000005</v>
      </c>
      <c r="C2639" s="762">
        <v>304904.09000000003</v>
      </c>
      <c r="D2639" s="479">
        <v>200</v>
      </c>
      <c r="E2639" s="589">
        <v>257348.59</v>
      </c>
    </row>
    <row r="2640" spans="1:5" x14ac:dyDescent="0.2">
      <c r="A2640" s="763" t="s">
        <v>297</v>
      </c>
      <c r="B2640" s="331">
        <f t="shared" si="56"/>
        <v>562418.18000000005</v>
      </c>
      <c r="C2640" s="762">
        <v>304869.59000000003</v>
      </c>
      <c r="D2640" s="479">
        <v>200</v>
      </c>
      <c r="E2640" s="589">
        <v>257348.59</v>
      </c>
    </row>
    <row r="2641" spans="1:5" x14ac:dyDescent="0.2">
      <c r="A2641" s="763" t="s">
        <v>297</v>
      </c>
      <c r="B2641" s="331">
        <f t="shared" si="56"/>
        <v>601492.61</v>
      </c>
      <c r="C2641" s="762">
        <v>343944.02</v>
      </c>
      <c r="D2641" s="479">
        <v>200</v>
      </c>
      <c r="E2641" s="589">
        <v>257348.59</v>
      </c>
    </row>
    <row r="2642" spans="1:5" x14ac:dyDescent="0.2">
      <c r="A2642" s="763" t="s">
        <v>298</v>
      </c>
      <c r="B2642" s="331">
        <f t="shared" si="56"/>
        <v>601342.61</v>
      </c>
      <c r="C2642" s="762">
        <v>343794.02</v>
      </c>
      <c r="D2642" s="479">
        <v>200</v>
      </c>
      <c r="E2642" s="589">
        <v>257348.59</v>
      </c>
    </row>
    <row r="2643" spans="1:5" x14ac:dyDescent="0.2">
      <c r="A2643" s="763" t="s">
        <v>298</v>
      </c>
      <c r="B2643" s="331">
        <f t="shared" si="56"/>
        <v>598390.28</v>
      </c>
      <c r="C2643" s="762">
        <v>340841.69</v>
      </c>
      <c r="D2643" s="479">
        <v>200</v>
      </c>
      <c r="E2643" s="589">
        <v>257348.59</v>
      </c>
    </row>
    <row r="2644" spans="1:5" x14ac:dyDescent="0.2">
      <c r="A2644" s="763" t="s">
        <v>298</v>
      </c>
      <c r="B2644" s="331">
        <f t="shared" si="56"/>
        <v>598362.28</v>
      </c>
      <c r="C2644" s="762">
        <v>340813.69</v>
      </c>
      <c r="D2644" s="479">
        <v>200</v>
      </c>
      <c r="E2644" s="589">
        <v>257348.59</v>
      </c>
    </row>
    <row r="2645" spans="1:5" x14ac:dyDescent="0.2">
      <c r="A2645" s="763" t="s">
        <v>298</v>
      </c>
      <c r="B2645" s="331">
        <f t="shared" si="56"/>
        <v>598159.98</v>
      </c>
      <c r="C2645" s="762">
        <v>340611.39</v>
      </c>
      <c r="D2645" s="479">
        <v>200</v>
      </c>
      <c r="E2645" s="589">
        <v>257348.59</v>
      </c>
    </row>
    <row r="2646" spans="1:5" x14ac:dyDescent="0.2">
      <c r="A2646" s="763" t="s">
        <v>298</v>
      </c>
      <c r="B2646" s="331">
        <f t="shared" si="56"/>
        <v>597953.23</v>
      </c>
      <c r="C2646" s="762">
        <v>340404.64</v>
      </c>
      <c r="D2646" s="479">
        <v>200</v>
      </c>
      <c r="E2646" s="589">
        <v>257348.59</v>
      </c>
    </row>
    <row r="2647" spans="1:5" x14ac:dyDescent="0.2">
      <c r="A2647" s="763" t="s">
        <v>298</v>
      </c>
      <c r="B2647" s="331">
        <f t="shared" si="56"/>
        <v>597453.23</v>
      </c>
      <c r="C2647" s="762">
        <v>339904.64</v>
      </c>
      <c r="D2647" s="479">
        <v>200</v>
      </c>
      <c r="E2647" s="589">
        <v>257348.59</v>
      </c>
    </row>
    <row r="2648" spans="1:5" x14ac:dyDescent="0.2">
      <c r="A2648" s="763" t="s">
        <v>298</v>
      </c>
      <c r="B2648" s="331">
        <f t="shared" ref="B2648:B2711" si="57">C2648+D2648+E2648</f>
        <v>597014.55000000005</v>
      </c>
      <c r="C2648" s="762">
        <v>339465.96</v>
      </c>
      <c r="D2648" s="479">
        <v>200</v>
      </c>
      <c r="E2648" s="589">
        <v>257348.59</v>
      </c>
    </row>
    <row r="2649" spans="1:5" x14ac:dyDescent="0.2">
      <c r="A2649" s="763" t="s">
        <v>298</v>
      </c>
      <c r="B2649" s="331">
        <f t="shared" si="57"/>
        <v>596784.99</v>
      </c>
      <c r="C2649" s="762">
        <v>339236.4</v>
      </c>
      <c r="D2649" s="479">
        <v>200</v>
      </c>
      <c r="E2649" s="589">
        <v>257348.59</v>
      </c>
    </row>
    <row r="2650" spans="1:5" x14ac:dyDescent="0.2">
      <c r="A2650" s="763" t="s">
        <v>298</v>
      </c>
      <c r="B2650" s="331">
        <f t="shared" si="57"/>
        <v>596769.52</v>
      </c>
      <c r="C2650" s="762">
        <v>339220.93000000005</v>
      </c>
      <c r="D2650" s="479">
        <v>200</v>
      </c>
      <c r="E2650" s="589">
        <v>257348.59</v>
      </c>
    </row>
    <row r="2651" spans="1:5" x14ac:dyDescent="0.2">
      <c r="A2651" s="763" t="s">
        <v>298</v>
      </c>
      <c r="B2651" s="331">
        <f t="shared" si="57"/>
        <v>596516.53</v>
      </c>
      <c r="C2651" s="762">
        <v>338967.94000000006</v>
      </c>
      <c r="D2651" s="479">
        <v>200</v>
      </c>
      <c r="E2651" s="589">
        <v>257348.59</v>
      </c>
    </row>
    <row r="2652" spans="1:5" x14ac:dyDescent="0.2">
      <c r="A2652" s="763" t="s">
        <v>298</v>
      </c>
      <c r="B2652" s="331">
        <f t="shared" si="57"/>
        <v>596493.43000000005</v>
      </c>
      <c r="C2652" s="762">
        <v>338944.84000000008</v>
      </c>
      <c r="D2652" s="479">
        <v>200</v>
      </c>
      <c r="E2652" s="589">
        <v>257348.59</v>
      </c>
    </row>
    <row r="2653" spans="1:5" x14ac:dyDescent="0.2">
      <c r="A2653" s="763" t="s">
        <v>298</v>
      </c>
      <c r="B2653" s="331">
        <f t="shared" si="57"/>
        <v>596351.68000000005</v>
      </c>
      <c r="C2653" s="762">
        <v>338803.09000000008</v>
      </c>
      <c r="D2653" s="479">
        <v>200</v>
      </c>
      <c r="E2653" s="589">
        <v>257348.59</v>
      </c>
    </row>
    <row r="2654" spans="1:5" x14ac:dyDescent="0.2">
      <c r="A2654" s="763" t="s">
        <v>298</v>
      </c>
      <c r="B2654" s="331">
        <f t="shared" si="57"/>
        <v>596285.88000000012</v>
      </c>
      <c r="C2654" s="762">
        <v>338737.2900000001</v>
      </c>
      <c r="D2654" s="479">
        <v>200</v>
      </c>
      <c r="E2654" s="589">
        <v>257348.59</v>
      </c>
    </row>
    <row r="2655" spans="1:5" x14ac:dyDescent="0.2">
      <c r="A2655" s="763" t="s">
        <v>298</v>
      </c>
      <c r="B2655" s="331">
        <f t="shared" si="57"/>
        <v>596211.46000000008</v>
      </c>
      <c r="C2655" s="762">
        <v>338662.87000000011</v>
      </c>
      <c r="D2655" s="479">
        <v>200</v>
      </c>
      <c r="E2655" s="589">
        <v>257348.59</v>
      </c>
    </row>
    <row r="2656" spans="1:5" x14ac:dyDescent="0.2">
      <c r="A2656" s="763" t="s">
        <v>298</v>
      </c>
      <c r="B2656" s="331">
        <f t="shared" si="57"/>
        <v>594546.46000000008</v>
      </c>
      <c r="C2656" s="762">
        <v>336997.87000000011</v>
      </c>
      <c r="D2656" s="479">
        <v>200</v>
      </c>
      <c r="E2656" s="589">
        <v>257348.59</v>
      </c>
    </row>
    <row r="2657" spans="1:5" x14ac:dyDescent="0.2">
      <c r="A2657" s="763" t="s">
        <v>298</v>
      </c>
      <c r="B2657" s="331">
        <f t="shared" si="57"/>
        <v>594492.94000000006</v>
      </c>
      <c r="C2657" s="762">
        <v>336944.35000000009</v>
      </c>
      <c r="D2657" s="479">
        <v>200</v>
      </c>
      <c r="E2657" s="589">
        <v>257348.59</v>
      </c>
    </row>
    <row r="2658" spans="1:5" x14ac:dyDescent="0.2">
      <c r="A2658" s="763" t="s">
        <v>298</v>
      </c>
      <c r="B2658" s="331">
        <f t="shared" si="57"/>
        <v>594404.53000000014</v>
      </c>
      <c r="C2658" s="762">
        <v>336855.94000000012</v>
      </c>
      <c r="D2658" s="479">
        <v>200</v>
      </c>
      <c r="E2658" s="589">
        <v>257348.59</v>
      </c>
    </row>
    <row r="2659" spans="1:5" x14ac:dyDescent="0.2">
      <c r="A2659" s="763" t="s">
        <v>298</v>
      </c>
      <c r="B2659" s="331">
        <f t="shared" si="57"/>
        <v>594424.21000000008</v>
      </c>
      <c r="C2659" s="762">
        <v>336875.62000000011</v>
      </c>
      <c r="D2659" s="479">
        <v>200</v>
      </c>
      <c r="E2659" s="589">
        <v>257348.59</v>
      </c>
    </row>
    <row r="2660" spans="1:5" x14ac:dyDescent="0.2">
      <c r="A2660" s="763" t="s">
        <v>299</v>
      </c>
      <c r="B2660" s="331">
        <f t="shared" si="57"/>
        <v>594205.78000000014</v>
      </c>
      <c r="C2660" s="762">
        <v>336657.19000000012</v>
      </c>
      <c r="D2660" s="479">
        <v>200</v>
      </c>
      <c r="E2660" s="589">
        <v>257348.59</v>
      </c>
    </row>
    <row r="2661" spans="1:5" x14ac:dyDescent="0.2">
      <c r="A2661" s="763" t="s">
        <v>300</v>
      </c>
      <c r="B2661" s="331">
        <f t="shared" si="57"/>
        <v>559150.63000000012</v>
      </c>
      <c r="C2661" s="762">
        <v>301602.0400000001</v>
      </c>
      <c r="D2661" s="479">
        <v>200</v>
      </c>
      <c r="E2661" s="589">
        <v>257348.59</v>
      </c>
    </row>
    <row r="2662" spans="1:5" x14ac:dyDescent="0.2">
      <c r="A2662" s="763" t="s">
        <v>301</v>
      </c>
      <c r="B2662" s="331">
        <f t="shared" si="57"/>
        <v>558932.20000000007</v>
      </c>
      <c r="C2662" s="762">
        <v>301383.6100000001</v>
      </c>
      <c r="D2662" s="479">
        <v>200</v>
      </c>
      <c r="E2662" s="589">
        <v>257348.59</v>
      </c>
    </row>
    <row r="2663" spans="1:5" x14ac:dyDescent="0.2">
      <c r="A2663" s="763" t="s">
        <v>301</v>
      </c>
      <c r="B2663" s="331">
        <f t="shared" si="57"/>
        <v>568510.52000000014</v>
      </c>
      <c r="C2663" s="762">
        <v>301120.57000000012</v>
      </c>
      <c r="D2663" s="764">
        <v>10041.359999999997</v>
      </c>
      <c r="E2663" s="589">
        <v>257348.59</v>
      </c>
    </row>
    <row r="2664" spans="1:5" x14ac:dyDescent="0.2">
      <c r="A2664" s="763" t="s">
        <v>301</v>
      </c>
      <c r="B2664" s="331">
        <f t="shared" si="57"/>
        <v>559515.24000000011</v>
      </c>
      <c r="C2664" s="762">
        <v>299055.91000000015</v>
      </c>
      <c r="D2664" s="764">
        <v>3110.7399999999971</v>
      </c>
      <c r="E2664" s="589">
        <v>257348.59</v>
      </c>
    </row>
    <row r="2665" spans="1:5" x14ac:dyDescent="0.2">
      <c r="A2665" s="763" t="s">
        <v>301</v>
      </c>
      <c r="B2665" s="331">
        <f t="shared" si="57"/>
        <v>557794.99000000011</v>
      </c>
      <c r="C2665" s="762">
        <v>298518.17000000016</v>
      </c>
      <c r="D2665" s="764">
        <v>1928.2299999999971</v>
      </c>
      <c r="E2665" s="589">
        <v>257348.59</v>
      </c>
    </row>
    <row r="2666" spans="1:5" x14ac:dyDescent="0.2">
      <c r="A2666" s="763" t="s">
        <v>301</v>
      </c>
      <c r="B2666" s="331">
        <f t="shared" si="57"/>
        <v>556628.29000000015</v>
      </c>
      <c r="C2666" s="762">
        <v>298295.54000000015</v>
      </c>
      <c r="D2666" s="764">
        <v>984.15999999999701</v>
      </c>
      <c r="E2666" s="589">
        <v>257348.59</v>
      </c>
    </row>
    <row r="2667" spans="1:5" x14ac:dyDescent="0.2">
      <c r="A2667" s="763" t="s">
        <v>301</v>
      </c>
      <c r="B2667" s="331">
        <f t="shared" si="57"/>
        <v>556119.49000000011</v>
      </c>
      <c r="C2667" s="762">
        <v>297786.74000000017</v>
      </c>
      <c r="D2667" s="764">
        <v>984.15999999999701</v>
      </c>
      <c r="E2667" s="589">
        <v>257348.59</v>
      </c>
    </row>
    <row r="2668" spans="1:5" x14ac:dyDescent="0.2">
      <c r="A2668" s="763" t="s">
        <v>301</v>
      </c>
      <c r="B2668" s="331">
        <f t="shared" si="57"/>
        <v>554229.66000000015</v>
      </c>
      <c r="C2668" s="762">
        <v>295896.91000000015</v>
      </c>
      <c r="D2668" s="764">
        <v>984.15999999999701</v>
      </c>
      <c r="E2668" s="589">
        <v>257348.59</v>
      </c>
    </row>
    <row r="2669" spans="1:5" x14ac:dyDescent="0.2">
      <c r="A2669" s="763" t="s">
        <v>301</v>
      </c>
      <c r="B2669" s="331">
        <f t="shared" si="57"/>
        <v>553856.56000000017</v>
      </c>
      <c r="C2669" s="762">
        <v>295523.81000000017</v>
      </c>
      <c r="D2669" s="764">
        <v>984.15999999999701</v>
      </c>
      <c r="E2669" s="589">
        <v>257348.59</v>
      </c>
    </row>
    <row r="2670" spans="1:5" x14ac:dyDescent="0.2">
      <c r="A2670" s="763" t="s">
        <v>301</v>
      </c>
      <c r="B2670" s="331">
        <f t="shared" si="57"/>
        <v>553846.56000000017</v>
      </c>
      <c r="C2670" s="762">
        <v>295513.81000000017</v>
      </c>
      <c r="D2670" s="764">
        <v>984.15999999999701</v>
      </c>
      <c r="E2670" s="589">
        <v>257348.59</v>
      </c>
    </row>
    <row r="2671" spans="1:5" x14ac:dyDescent="0.2">
      <c r="A2671" s="763" t="s">
        <v>301</v>
      </c>
      <c r="B2671" s="331">
        <f t="shared" si="57"/>
        <v>553232.44000000018</v>
      </c>
      <c r="C2671" s="762">
        <v>294899.69000000018</v>
      </c>
      <c r="D2671" s="764">
        <v>984.15999999999701</v>
      </c>
      <c r="E2671" s="589">
        <v>257348.59</v>
      </c>
    </row>
    <row r="2672" spans="1:5" x14ac:dyDescent="0.2">
      <c r="A2672" s="763" t="s">
        <v>302</v>
      </c>
      <c r="B2672" s="331">
        <f t="shared" si="57"/>
        <v>553282.44000000018</v>
      </c>
      <c r="C2672" s="762">
        <v>294949.69000000018</v>
      </c>
      <c r="D2672" s="764">
        <v>984.15999999999701</v>
      </c>
      <c r="E2672" s="589">
        <v>257348.59</v>
      </c>
    </row>
    <row r="2673" spans="1:5" x14ac:dyDescent="0.2">
      <c r="A2673" s="763" t="s">
        <v>302</v>
      </c>
      <c r="B2673" s="331">
        <f t="shared" si="57"/>
        <v>553389.44000000018</v>
      </c>
      <c r="C2673" s="762">
        <v>295056.69000000018</v>
      </c>
      <c r="D2673" s="764">
        <v>984.15999999999701</v>
      </c>
      <c r="E2673" s="589">
        <v>257348.59</v>
      </c>
    </row>
    <row r="2674" spans="1:5" x14ac:dyDescent="0.2">
      <c r="A2674" s="763" t="s">
        <v>302</v>
      </c>
      <c r="B2674" s="331">
        <f t="shared" si="57"/>
        <v>553586.44000000018</v>
      </c>
      <c r="C2674" s="762">
        <v>295253.69000000018</v>
      </c>
      <c r="D2674" s="764">
        <v>984.15999999999701</v>
      </c>
      <c r="E2674" s="589">
        <v>257348.59</v>
      </c>
    </row>
    <row r="2675" spans="1:5" x14ac:dyDescent="0.2">
      <c r="A2675" s="763" t="s">
        <v>302</v>
      </c>
      <c r="B2675" s="331">
        <f t="shared" si="57"/>
        <v>553851.44000000018</v>
      </c>
      <c r="C2675" s="762">
        <v>295518.69000000018</v>
      </c>
      <c r="D2675" s="764">
        <v>984.15999999999701</v>
      </c>
      <c r="E2675" s="589">
        <v>257348.59</v>
      </c>
    </row>
    <row r="2676" spans="1:5" x14ac:dyDescent="0.2">
      <c r="A2676" s="763" t="s">
        <v>302</v>
      </c>
      <c r="B2676" s="331">
        <f t="shared" si="57"/>
        <v>553933.44000000018</v>
      </c>
      <c r="C2676" s="762">
        <v>295600.69000000018</v>
      </c>
      <c r="D2676" s="764">
        <v>984.15999999999701</v>
      </c>
      <c r="E2676" s="589">
        <v>257348.59</v>
      </c>
    </row>
    <row r="2677" spans="1:5" x14ac:dyDescent="0.2">
      <c r="A2677" s="763" t="s">
        <v>302</v>
      </c>
      <c r="B2677" s="331">
        <f t="shared" si="57"/>
        <v>553943.44000000018</v>
      </c>
      <c r="C2677" s="762">
        <v>295610.69000000018</v>
      </c>
      <c r="D2677" s="764">
        <v>984.15999999999701</v>
      </c>
      <c r="E2677" s="589">
        <v>257348.59</v>
      </c>
    </row>
    <row r="2678" spans="1:5" x14ac:dyDescent="0.2">
      <c r="A2678" s="763" t="s">
        <v>302</v>
      </c>
      <c r="B2678" s="331">
        <f t="shared" si="57"/>
        <v>558291.38000000024</v>
      </c>
      <c r="C2678" s="762">
        <v>300742.58000000019</v>
      </c>
      <c r="D2678" s="764">
        <v>200.20999999999697</v>
      </c>
      <c r="E2678" s="589">
        <v>257348.59</v>
      </c>
    </row>
    <row r="2679" spans="1:5" x14ac:dyDescent="0.2">
      <c r="A2679" s="763" t="s">
        <v>302</v>
      </c>
      <c r="B2679" s="331">
        <f t="shared" si="57"/>
        <v>584291.38000000024</v>
      </c>
      <c r="C2679" s="762">
        <v>326742.58000000019</v>
      </c>
      <c r="D2679" s="764">
        <v>200.20999999999697</v>
      </c>
      <c r="E2679" s="589">
        <v>257348.59</v>
      </c>
    </row>
    <row r="2680" spans="1:5" x14ac:dyDescent="0.2">
      <c r="A2680" s="763" t="s">
        <v>302</v>
      </c>
      <c r="B2680" s="331">
        <f t="shared" si="57"/>
        <v>584317.9700000002</v>
      </c>
      <c r="C2680" s="762">
        <v>326769.17000000022</v>
      </c>
      <c r="D2680" s="764">
        <v>200.20999999999697</v>
      </c>
      <c r="E2680" s="589">
        <v>257348.59</v>
      </c>
    </row>
    <row r="2681" spans="1:5" x14ac:dyDescent="0.2">
      <c r="A2681" s="763" t="s">
        <v>302</v>
      </c>
      <c r="B2681" s="331">
        <f t="shared" si="57"/>
        <v>584367.62000000023</v>
      </c>
      <c r="C2681" s="762">
        <v>326818.82000000024</v>
      </c>
      <c r="D2681" s="764">
        <v>200.20999999999697</v>
      </c>
      <c r="E2681" s="589">
        <v>257348.59</v>
      </c>
    </row>
    <row r="2682" spans="1:5" x14ac:dyDescent="0.2">
      <c r="A2682" s="763" t="s">
        <v>302</v>
      </c>
      <c r="B2682" s="331">
        <f t="shared" si="57"/>
        <v>584086.48000000021</v>
      </c>
      <c r="C2682" s="762">
        <v>326537.68000000023</v>
      </c>
      <c r="D2682" s="764">
        <v>200.20999999999697</v>
      </c>
      <c r="E2682" s="589">
        <v>257348.59</v>
      </c>
    </row>
    <row r="2683" spans="1:5" x14ac:dyDescent="0.2">
      <c r="A2683" s="763" t="s">
        <v>303</v>
      </c>
      <c r="B2683" s="331">
        <f t="shared" si="57"/>
        <v>584111.15000000026</v>
      </c>
      <c r="C2683" s="762">
        <v>326562.35000000021</v>
      </c>
      <c r="D2683" s="764">
        <v>200.20999999999697</v>
      </c>
      <c r="E2683" s="589">
        <v>257348.59</v>
      </c>
    </row>
    <row r="2684" spans="1:5" x14ac:dyDescent="0.2">
      <c r="A2684" s="763" t="s">
        <v>304</v>
      </c>
      <c r="B2684" s="331">
        <f t="shared" si="57"/>
        <v>583988.99000000022</v>
      </c>
      <c r="C2684" s="762">
        <v>326440.19000000024</v>
      </c>
      <c r="D2684" s="764">
        <v>200.20999999999697</v>
      </c>
      <c r="E2684" s="589">
        <v>257348.59</v>
      </c>
    </row>
    <row r="2685" spans="1:5" x14ac:dyDescent="0.2">
      <c r="A2685" s="763" t="s">
        <v>304</v>
      </c>
      <c r="B2685" s="331">
        <f t="shared" si="57"/>
        <v>576450.91000000027</v>
      </c>
      <c r="C2685" s="762">
        <v>318902.11000000022</v>
      </c>
      <c r="D2685" s="764">
        <v>200.20999999999697</v>
      </c>
      <c r="E2685" s="589">
        <v>257348.59</v>
      </c>
    </row>
    <row r="2686" spans="1:5" x14ac:dyDescent="0.2">
      <c r="A2686" s="763" t="s">
        <v>304</v>
      </c>
      <c r="B2686" s="331">
        <f t="shared" si="57"/>
        <v>571450.91000000027</v>
      </c>
      <c r="C2686" s="762">
        <v>313902.11000000022</v>
      </c>
      <c r="D2686" s="764">
        <v>200.20999999999697</v>
      </c>
      <c r="E2686" s="589">
        <v>257348.59</v>
      </c>
    </row>
    <row r="2687" spans="1:5" x14ac:dyDescent="0.2">
      <c r="A2687" s="763" t="s">
        <v>304</v>
      </c>
      <c r="B2687" s="331">
        <f t="shared" si="57"/>
        <v>570851.51000000024</v>
      </c>
      <c r="C2687" s="762">
        <v>313302.7100000002</v>
      </c>
      <c r="D2687" s="764">
        <v>200.20999999999697</v>
      </c>
      <c r="E2687" s="589">
        <v>257348.59</v>
      </c>
    </row>
    <row r="2688" spans="1:5" x14ac:dyDescent="0.2">
      <c r="A2688" s="763" t="s">
        <v>304</v>
      </c>
      <c r="B2688" s="331">
        <f t="shared" si="57"/>
        <v>567933.62000000023</v>
      </c>
      <c r="C2688" s="762">
        <v>310384.82000000018</v>
      </c>
      <c r="D2688" s="764">
        <v>200.20999999999697</v>
      </c>
      <c r="E2688" s="589">
        <v>257348.59</v>
      </c>
    </row>
    <row r="2689" spans="1:5" x14ac:dyDescent="0.2">
      <c r="A2689" s="763" t="s">
        <v>305</v>
      </c>
      <c r="B2689" s="331">
        <f t="shared" si="57"/>
        <v>532131.74000000022</v>
      </c>
      <c r="C2689" s="762">
        <v>274582.94000000018</v>
      </c>
      <c r="D2689" s="764">
        <v>200.20999999999697</v>
      </c>
      <c r="E2689" s="589">
        <v>257348.59</v>
      </c>
    </row>
    <row r="2690" spans="1:5" x14ac:dyDescent="0.2">
      <c r="A2690" s="763" t="s">
        <v>305</v>
      </c>
      <c r="B2690" s="331">
        <f t="shared" si="57"/>
        <v>532150.80000000016</v>
      </c>
      <c r="C2690" s="762">
        <v>274602.00000000017</v>
      </c>
      <c r="D2690" s="764">
        <v>200.20999999999697</v>
      </c>
      <c r="E2690" s="589">
        <v>257348.59</v>
      </c>
    </row>
    <row r="2691" spans="1:5" x14ac:dyDescent="0.2">
      <c r="A2691" s="763" t="s">
        <v>306</v>
      </c>
      <c r="B2691" s="331">
        <f t="shared" si="57"/>
        <v>531585.80000000016</v>
      </c>
      <c r="C2691" s="762">
        <v>274037.00000000017</v>
      </c>
      <c r="D2691" s="764">
        <v>200.20999999999697</v>
      </c>
      <c r="E2691" s="589">
        <v>257348.59</v>
      </c>
    </row>
    <row r="2692" spans="1:5" x14ac:dyDescent="0.2">
      <c r="A2692" s="763" t="s">
        <v>306</v>
      </c>
      <c r="B2692" s="331">
        <f t="shared" si="57"/>
        <v>531020.80000000016</v>
      </c>
      <c r="C2692" s="762">
        <v>273472.00000000017</v>
      </c>
      <c r="D2692" s="764">
        <v>200.20999999999697</v>
      </c>
      <c r="E2692" s="589">
        <v>257348.59</v>
      </c>
    </row>
    <row r="2693" spans="1:5" x14ac:dyDescent="0.2">
      <c r="A2693" s="763" t="s">
        <v>306</v>
      </c>
      <c r="B2693" s="331">
        <f t="shared" si="57"/>
        <v>530988.11000000022</v>
      </c>
      <c r="C2693" s="762">
        <v>273439.31000000017</v>
      </c>
      <c r="D2693" s="764">
        <v>200.20999999999697</v>
      </c>
      <c r="E2693" s="589">
        <v>257348.59</v>
      </c>
    </row>
    <row r="2694" spans="1:5" x14ac:dyDescent="0.2">
      <c r="A2694" s="763" t="s">
        <v>306</v>
      </c>
      <c r="B2694" s="331">
        <f t="shared" si="57"/>
        <v>546303.92000000016</v>
      </c>
      <c r="C2694" s="762">
        <v>288755.12000000017</v>
      </c>
      <c r="D2694" s="764">
        <v>200.20999999999697</v>
      </c>
      <c r="E2694" s="589">
        <v>257348.59</v>
      </c>
    </row>
    <row r="2695" spans="1:5" x14ac:dyDescent="0.2">
      <c r="A2695" s="763" t="s">
        <v>307</v>
      </c>
      <c r="B2695" s="331">
        <f t="shared" si="57"/>
        <v>545804.26000000013</v>
      </c>
      <c r="C2695" s="762">
        <v>288255.12000000017</v>
      </c>
      <c r="D2695" s="764">
        <v>200.54999999999697</v>
      </c>
      <c r="E2695" s="589">
        <v>257348.59</v>
      </c>
    </row>
    <row r="2696" spans="1:5" x14ac:dyDescent="0.2">
      <c r="A2696" s="763" t="s">
        <v>307</v>
      </c>
      <c r="B2696" s="331">
        <f t="shared" si="57"/>
        <v>546244.26000000013</v>
      </c>
      <c r="C2696" s="762">
        <v>288695.12000000017</v>
      </c>
      <c r="D2696" s="764">
        <v>200.54999999999697</v>
      </c>
      <c r="E2696" s="589">
        <v>257348.59</v>
      </c>
    </row>
    <row r="2697" spans="1:5" x14ac:dyDescent="0.2">
      <c r="A2697" s="763" t="s">
        <v>307</v>
      </c>
      <c r="B2697" s="331">
        <f t="shared" si="57"/>
        <v>546329.26000000013</v>
      </c>
      <c r="C2697" s="762">
        <v>288780.12000000017</v>
      </c>
      <c r="D2697" s="764">
        <v>200.54999999999697</v>
      </c>
      <c r="E2697" s="589">
        <v>257348.59</v>
      </c>
    </row>
    <row r="2698" spans="1:5" x14ac:dyDescent="0.2">
      <c r="A2698" s="763" t="s">
        <v>307</v>
      </c>
      <c r="B2698" s="331">
        <f t="shared" si="57"/>
        <v>556493.40000000014</v>
      </c>
      <c r="C2698" s="762">
        <v>288965.12000000017</v>
      </c>
      <c r="D2698" s="764">
        <v>10179.689999999991</v>
      </c>
      <c r="E2698" s="589">
        <v>257348.59</v>
      </c>
    </row>
    <row r="2699" spans="1:5" x14ac:dyDescent="0.2">
      <c r="A2699" s="763" t="s">
        <v>307</v>
      </c>
      <c r="B2699" s="331">
        <f t="shared" si="57"/>
        <v>549470.29000000015</v>
      </c>
      <c r="C2699" s="762">
        <v>289025.12000000017</v>
      </c>
      <c r="D2699" s="764">
        <v>3096.5799999999917</v>
      </c>
      <c r="E2699" s="589">
        <v>257348.59</v>
      </c>
    </row>
    <row r="2700" spans="1:5" x14ac:dyDescent="0.2">
      <c r="A2700" s="763" t="s">
        <v>307</v>
      </c>
      <c r="B2700" s="331">
        <f t="shared" si="57"/>
        <v>576688.89000000013</v>
      </c>
      <c r="C2700" s="762">
        <v>317439.26000000018</v>
      </c>
      <c r="D2700" s="764">
        <v>1901.0399999999918</v>
      </c>
      <c r="E2700" s="589">
        <v>257348.59</v>
      </c>
    </row>
    <row r="2701" spans="1:5" x14ac:dyDescent="0.2">
      <c r="A2701" s="763" t="s">
        <v>308</v>
      </c>
      <c r="B2701" s="331">
        <f t="shared" si="57"/>
        <v>576271.94000000018</v>
      </c>
      <c r="C2701" s="762">
        <v>317158.12000000017</v>
      </c>
      <c r="D2701" s="764">
        <v>991.03999999999178</v>
      </c>
      <c r="E2701" s="589">
        <v>258122.78</v>
      </c>
    </row>
    <row r="2702" spans="1:5" x14ac:dyDescent="0.2">
      <c r="A2702" s="763" t="s">
        <v>309</v>
      </c>
      <c r="B2702" s="331">
        <f t="shared" si="57"/>
        <v>576146.94000000018</v>
      </c>
      <c r="C2702" s="762">
        <v>317033.12000000017</v>
      </c>
      <c r="D2702" s="764">
        <v>991.03999999999178</v>
      </c>
      <c r="E2702" s="589">
        <v>258122.78</v>
      </c>
    </row>
    <row r="2703" spans="1:5" x14ac:dyDescent="0.2">
      <c r="A2703" s="763" t="s">
        <v>309</v>
      </c>
      <c r="B2703" s="331">
        <f t="shared" si="57"/>
        <v>575996.94000000018</v>
      </c>
      <c r="C2703" s="762">
        <v>316883.12000000017</v>
      </c>
      <c r="D2703" s="764">
        <v>991.03999999999178</v>
      </c>
      <c r="E2703" s="589">
        <v>258122.78</v>
      </c>
    </row>
    <row r="2704" spans="1:5" x14ac:dyDescent="0.2">
      <c r="A2704" s="763" t="s">
        <v>309</v>
      </c>
      <c r="B2704" s="331">
        <f t="shared" si="57"/>
        <v>570113.1100000001</v>
      </c>
      <c r="C2704" s="762">
        <v>310999.29000000015</v>
      </c>
      <c r="D2704" s="764">
        <v>991.03999999999178</v>
      </c>
      <c r="E2704" s="589">
        <v>258122.78</v>
      </c>
    </row>
    <row r="2705" spans="1:5" x14ac:dyDescent="0.2">
      <c r="A2705" s="763" t="s">
        <v>309</v>
      </c>
      <c r="B2705" s="331">
        <f t="shared" si="57"/>
        <v>570096.06000000017</v>
      </c>
      <c r="C2705" s="762">
        <v>310982.24000000017</v>
      </c>
      <c r="D2705" s="764">
        <v>991.03999999999178</v>
      </c>
      <c r="E2705" s="589">
        <v>258122.78</v>
      </c>
    </row>
    <row r="2706" spans="1:5" x14ac:dyDescent="0.2">
      <c r="A2706" s="763" t="s">
        <v>309</v>
      </c>
      <c r="B2706" s="331">
        <f t="shared" si="57"/>
        <v>569474.2100000002</v>
      </c>
      <c r="C2706" s="762">
        <v>310360.39000000019</v>
      </c>
      <c r="D2706" s="764">
        <v>991.03999999999178</v>
      </c>
      <c r="E2706" s="589">
        <v>258122.78</v>
      </c>
    </row>
    <row r="2707" spans="1:5" x14ac:dyDescent="0.2">
      <c r="A2707" s="763" t="s">
        <v>309</v>
      </c>
      <c r="B2707" s="331">
        <f t="shared" si="57"/>
        <v>568974.2100000002</v>
      </c>
      <c r="C2707" s="762">
        <v>309860.39000000019</v>
      </c>
      <c r="D2707" s="764">
        <v>991.03999999999178</v>
      </c>
      <c r="E2707" s="589">
        <v>258122.78</v>
      </c>
    </row>
    <row r="2708" spans="1:5" x14ac:dyDescent="0.2">
      <c r="A2708" s="763" t="s">
        <v>309</v>
      </c>
      <c r="B2708" s="331">
        <f t="shared" si="57"/>
        <v>568062.73000000021</v>
      </c>
      <c r="C2708" s="762">
        <v>308948.91000000021</v>
      </c>
      <c r="D2708" s="764">
        <v>991.03999999999178</v>
      </c>
      <c r="E2708" s="589">
        <v>258122.78</v>
      </c>
    </row>
    <row r="2709" spans="1:5" x14ac:dyDescent="0.2">
      <c r="A2709" s="763" t="s">
        <v>309</v>
      </c>
      <c r="B2709" s="331">
        <f t="shared" si="57"/>
        <v>567624.05000000016</v>
      </c>
      <c r="C2709" s="762">
        <v>308510.23000000021</v>
      </c>
      <c r="D2709" s="764">
        <v>991.03999999999178</v>
      </c>
      <c r="E2709" s="589">
        <v>258122.78</v>
      </c>
    </row>
    <row r="2710" spans="1:5" x14ac:dyDescent="0.2">
      <c r="A2710" s="763" t="s">
        <v>309</v>
      </c>
      <c r="B2710" s="331">
        <f t="shared" si="57"/>
        <v>567110.81000000017</v>
      </c>
      <c r="C2710" s="762">
        <v>307996.99000000022</v>
      </c>
      <c r="D2710" s="764">
        <v>991.03999999999178</v>
      </c>
      <c r="E2710" s="589">
        <v>258122.78</v>
      </c>
    </row>
    <row r="2711" spans="1:5" x14ac:dyDescent="0.2">
      <c r="A2711" s="763" t="s">
        <v>309</v>
      </c>
      <c r="B2711" s="331">
        <f t="shared" si="57"/>
        <v>566403.44000000018</v>
      </c>
      <c r="C2711" s="762">
        <v>307289.62000000023</v>
      </c>
      <c r="D2711" s="764">
        <v>991.03999999999178</v>
      </c>
      <c r="E2711" s="589">
        <v>258122.78</v>
      </c>
    </row>
    <row r="2712" spans="1:5" x14ac:dyDescent="0.2">
      <c r="A2712" s="763" t="s">
        <v>309</v>
      </c>
      <c r="B2712" s="331">
        <f t="shared" ref="B2712:B2775" si="58">C2712+D2712+E2712</f>
        <v>566264.69000000018</v>
      </c>
      <c r="C2712" s="762">
        <v>307150.87000000023</v>
      </c>
      <c r="D2712" s="764">
        <v>991.03999999999178</v>
      </c>
      <c r="E2712" s="589">
        <v>258122.78</v>
      </c>
    </row>
    <row r="2713" spans="1:5" x14ac:dyDescent="0.2">
      <c r="A2713" s="763" t="s">
        <v>309</v>
      </c>
      <c r="B2713" s="331">
        <f t="shared" si="58"/>
        <v>562799.69000000018</v>
      </c>
      <c r="C2713" s="762">
        <v>303685.87000000023</v>
      </c>
      <c r="D2713" s="764">
        <v>991.03999999999178</v>
      </c>
      <c r="E2713" s="589">
        <v>258122.78</v>
      </c>
    </row>
    <row r="2714" spans="1:5" x14ac:dyDescent="0.2">
      <c r="A2714" s="763" t="s">
        <v>309</v>
      </c>
      <c r="B2714" s="331">
        <f t="shared" si="58"/>
        <v>561873.2200000002</v>
      </c>
      <c r="C2714" s="762">
        <v>303549.90000000026</v>
      </c>
      <c r="D2714" s="764">
        <v>200.53999999999178</v>
      </c>
      <c r="E2714" s="589">
        <v>258122.78</v>
      </c>
    </row>
    <row r="2715" spans="1:5" x14ac:dyDescent="0.2">
      <c r="A2715" s="763" t="s">
        <v>309</v>
      </c>
      <c r="B2715" s="331">
        <f t="shared" si="58"/>
        <v>561605.17000000027</v>
      </c>
      <c r="C2715" s="762">
        <v>303281.85000000027</v>
      </c>
      <c r="D2715" s="764">
        <v>200.53999999999178</v>
      </c>
      <c r="E2715" s="589">
        <v>258122.78</v>
      </c>
    </row>
    <row r="2716" spans="1:5" x14ac:dyDescent="0.2">
      <c r="A2716" s="763" t="s">
        <v>309</v>
      </c>
      <c r="B2716" s="331">
        <f t="shared" si="58"/>
        <v>538756.17000000027</v>
      </c>
      <c r="C2716" s="762">
        <v>280432.85000000027</v>
      </c>
      <c r="D2716" s="764">
        <v>200.53999999999178</v>
      </c>
      <c r="E2716" s="589">
        <v>258122.78</v>
      </c>
    </row>
    <row r="2717" spans="1:5" x14ac:dyDescent="0.2">
      <c r="A2717" s="763" t="s">
        <v>310</v>
      </c>
      <c r="B2717" s="331">
        <f t="shared" si="58"/>
        <v>538666.17000000027</v>
      </c>
      <c r="C2717" s="762">
        <v>280342.85000000027</v>
      </c>
      <c r="D2717" s="764">
        <v>200.53999999999178</v>
      </c>
      <c r="E2717" s="589">
        <v>258122.78</v>
      </c>
    </row>
    <row r="2718" spans="1:5" x14ac:dyDescent="0.2">
      <c r="A2718" s="763" t="s">
        <v>310</v>
      </c>
      <c r="B2718" s="331">
        <f t="shared" si="58"/>
        <v>538447.74000000022</v>
      </c>
      <c r="C2718" s="762">
        <v>280124.42000000027</v>
      </c>
      <c r="D2718" s="764">
        <v>200.53999999999178</v>
      </c>
      <c r="E2718" s="589">
        <v>258122.78</v>
      </c>
    </row>
    <row r="2719" spans="1:5" x14ac:dyDescent="0.2">
      <c r="A2719" s="763" t="s">
        <v>310</v>
      </c>
      <c r="B2719" s="331">
        <f t="shared" si="58"/>
        <v>538409.94000000029</v>
      </c>
      <c r="C2719" s="762">
        <v>280086.62000000029</v>
      </c>
      <c r="D2719" s="764">
        <v>200.53999999999178</v>
      </c>
      <c r="E2719" s="589">
        <v>258122.78</v>
      </c>
    </row>
    <row r="2720" spans="1:5" x14ac:dyDescent="0.2">
      <c r="A2720" s="763" t="s">
        <v>310</v>
      </c>
      <c r="B2720" s="331">
        <f t="shared" si="58"/>
        <v>538271.15000000026</v>
      </c>
      <c r="C2720" s="762">
        <v>279947.83000000031</v>
      </c>
      <c r="D2720" s="764">
        <v>200.53999999999178</v>
      </c>
      <c r="E2720" s="589">
        <v>258122.78</v>
      </c>
    </row>
    <row r="2721" spans="1:5" x14ac:dyDescent="0.2">
      <c r="A2721" s="763" t="s">
        <v>310</v>
      </c>
      <c r="B2721" s="331">
        <f t="shared" si="58"/>
        <v>537953.31000000029</v>
      </c>
      <c r="C2721" s="762">
        <v>279629.99000000028</v>
      </c>
      <c r="D2721" s="764">
        <v>200.53999999999178</v>
      </c>
      <c r="E2721" s="589">
        <v>258122.78</v>
      </c>
    </row>
    <row r="2722" spans="1:5" x14ac:dyDescent="0.2">
      <c r="A2722" s="763" t="s">
        <v>310</v>
      </c>
      <c r="B2722" s="331">
        <f t="shared" si="58"/>
        <v>537358.31000000029</v>
      </c>
      <c r="C2722" s="762">
        <v>279034.99000000028</v>
      </c>
      <c r="D2722" s="764">
        <v>200.53999999999178</v>
      </c>
      <c r="E2722" s="589">
        <v>258122.78</v>
      </c>
    </row>
    <row r="2723" spans="1:5" x14ac:dyDescent="0.2">
      <c r="A2723" s="763" t="s">
        <v>310</v>
      </c>
      <c r="B2723" s="331">
        <f t="shared" si="58"/>
        <v>532358.31000000029</v>
      </c>
      <c r="C2723" s="762">
        <v>274034.99000000028</v>
      </c>
      <c r="D2723" s="764">
        <v>200.53999999999178</v>
      </c>
      <c r="E2723" s="589">
        <v>258122.78</v>
      </c>
    </row>
    <row r="2724" spans="1:5" x14ac:dyDescent="0.2">
      <c r="A2724" s="763" t="s">
        <v>310</v>
      </c>
      <c r="B2724" s="331">
        <f t="shared" si="58"/>
        <v>532048.11000000022</v>
      </c>
      <c r="C2724" s="762">
        <v>273724.79000000027</v>
      </c>
      <c r="D2724" s="764">
        <v>200.53999999999178</v>
      </c>
      <c r="E2724" s="589">
        <v>258122.78</v>
      </c>
    </row>
    <row r="2725" spans="1:5" x14ac:dyDescent="0.2">
      <c r="A2725" s="763" t="s">
        <v>310</v>
      </c>
      <c r="B2725" s="331">
        <f t="shared" si="58"/>
        <v>531896.5900000002</v>
      </c>
      <c r="C2725" s="762">
        <v>273573.27000000025</v>
      </c>
      <c r="D2725" s="764">
        <v>200.53999999999178</v>
      </c>
      <c r="E2725" s="589">
        <v>258122.78</v>
      </c>
    </row>
    <row r="2726" spans="1:5" x14ac:dyDescent="0.2">
      <c r="A2726" s="763" t="s">
        <v>310</v>
      </c>
      <c r="B2726" s="331">
        <f t="shared" si="58"/>
        <v>531884.69000000018</v>
      </c>
      <c r="C2726" s="762">
        <v>273561.37000000023</v>
      </c>
      <c r="D2726" s="764">
        <v>200.53999999999178</v>
      </c>
      <c r="E2726" s="589">
        <v>258122.78</v>
      </c>
    </row>
    <row r="2727" spans="1:5" x14ac:dyDescent="0.2">
      <c r="A2727" s="763" t="s">
        <v>310</v>
      </c>
      <c r="B2727" s="331">
        <f t="shared" si="58"/>
        <v>531271.08000000019</v>
      </c>
      <c r="C2727" s="762">
        <v>272947.76000000024</v>
      </c>
      <c r="D2727" s="764">
        <v>200.53999999999178</v>
      </c>
      <c r="E2727" s="589">
        <v>258122.78</v>
      </c>
    </row>
    <row r="2728" spans="1:5" x14ac:dyDescent="0.2">
      <c r="A2728" s="763" t="s">
        <v>310</v>
      </c>
      <c r="B2728" s="331">
        <f t="shared" si="58"/>
        <v>531131.08000000019</v>
      </c>
      <c r="C2728" s="762">
        <v>272807.76000000024</v>
      </c>
      <c r="D2728" s="764">
        <v>200.53999999999178</v>
      </c>
      <c r="E2728" s="589">
        <v>258122.78</v>
      </c>
    </row>
    <row r="2729" spans="1:5" x14ac:dyDescent="0.2">
      <c r="A2729" s="763" t="s">
        <v>310</v>
      </c>
      <c r="B2729" s="331">
        <f t="shared" si="58"/>
        <v>529354.08000000019</v>
      </c>
      <c r="C2729" s="762">
        <v>271030.76000000024</v>
      </c>
      <c r="D2729" s="764">
        <v>200.53999999999178</v>
      </c>
      <c r="E2729" s="589">
        <v>258122.78</v>
      </c>
    </row>
    <row r="2730" spans="1:5" x14ac:dyDescent="0.2">
      <c r="A2730" s="763" t="s">
        <v>310</v>
      </c>
      <c r="B2730" s="331">
        <f t="shared" si="58"/>
        <v>529175.58000000019</v>
      </c>
      <c r="C2730" s="762">
        <v>270852.26000000024</v>
      </c>
      <c r="D2730" s="764">
        <v>200.53999999999178</v>
      </c>
      <c r="E2730" s="589">
        <v>258122.78</v>
      </c>
    </row>
    <row r="2731" spans="1:5" x14ac:dyDescent="0.2">
      <c r="A2731" s="763" t="s">
        <v>310</v>
      </c>
      <c r="B2731" s="331">
        <f t="shared" si="58"/>
        <v>506224.11000000022</v>
      </c>
      <c r="C2731" s="762">
        <v>270749.79000000027</v>
      </c>
      <c r="D2731" s="764">
        <v>-22648.460000000006</v>
      </c>
      <c r="E2731" s="589">
        <v>258122.78</v>
      </c>
    </row>
    <row r="2732" spans="1:5" x14ac:dyDescent="0.2">
      <c r="A2732" s="763" t="s">
        <v>311</v>
      </c>
      <c r="B2732" s="331">
        <f t="shared" si="58"/>
        <v>529038.61000000022</v>
      </c>
      <c r="C2732" s="762">
        <v>270715.29000000027</v>
      </c>
      <c r="D2732" s="764">
        <v>200.5399999999936</v>
      </c>
      <c r="E2732" s="589">
        <v>258122.78</v>
      </c>
    </row>
    <row r="2733" spans="1:5" x14ac:dyDescent="0.2">
      <c r="A2733" s="763" t="s">
        <v>312</v>
      </c>
      <c r="B2733" s="331">
        <f t="shared" si="58"/>
        <v>529038.61000000022</v>
      </c>
      <c r="C2733" s="762">
        <v>231225.90000000026</v>
      </c>
      <c r="D2733" s="764">
        <v>39689.929999999993</v>
      </c>
      <c r="E2733" s="589">
        <v>258122.78</v>
      </c>
    </row>
    <row r="2734" spans="1:5" x14ac:dyDescent="0.2">
      <c r="A2734" s="763" t="s">
        <v>313</v>
      </c>
      <c r="B2734" s="331">
        <f t="shared" si="58"/>
        <v>501582.43000000028</v>
      </c>
      <c r="C2734" s="762">
        <v>231100.90000000026</v>
      </c>
      <c r="D2734" s="764">
        <v>12358.749999999993</v>
      </c>
      <c r="E2734" s="589">
        <v>258122.78</v>
      </c>
    </row>
    <row r="2735" spans="1:5" x14ac:dyDescent="0.2">
      <c r="A2735" s="763" t="s">
        <v>313</v>
      </c>
      <c r="B2735" s="331">
        <f t="shared" si="58"/>
        <v>500343.91000000027</v>
      </c>
      <c r="C2735" s="762">
        <v>231047.38000000027</v>
      </c>
      <c r="D2735" s="764">
        <v>11173.749999999993</v>
      </c>
      <c r="E2735" s="589">
        <v>258122.78</v>
      </c>
    </row>
    <row r="2736" spans="1:5" x14ac:dyDescent="0.2">
      <c r="A2736" s="763" t="s">
        <v>313</v>
      </c>
      <c r="B2736" s="331">
        <f t="shared" si="58"/>
        <v>492348.96000000025</v>
      </c>
      <c r="C2736" s="762">
        <v>230969.70000000027</v>
      </c>
      <c r="D2736" s="764">
        <v>3256.4799999999923</v>
      </c>
      <c r="E2736" s="589">
        <v>258122.78</v>
      </c>
    </row>
    <row r="2737" spans="1:5" x14ac:dyDescent="0.2">
      <c r="A2737" s="763" t="s">
        <v>313</v>
      </c>
      <c r="B2737" s="331">
        <f t="shared" si="58"/>
        <v>487570.58000000031</v>
      </c>
      <c r="C2737" s="762">
        <v>227536.55000000028</v>
      </c>
      <c r="D2737" s="764">
        <v>1911.2499999999923</v>
      </c>
      <c r="E2737" s="589">
        <v>258122.78</v>
      </c>
    </row>
    <row r="2738" spans="1:5" x14ac:dyDescent="0.2">
      <c r="A2738" s="763" t="s">
        <v>313</v>
      </c>
      <c r="B2738" s="331">
        <f t="shared" si="58"/>
        <v>486425.43000000028</v>
      </c>
      <c r="C2738" s="762">
        <v>227318.12000000029</v>
      </c>
      <c r="D2738" s="764">
        <v>984.52999999999224</v>
      </c>
      <c r="E2738" s="589">
        <v>258122.78</v>
      </c>
    </row>
    <row r="2739" spans="1:5" x14ac:dyDescent="0.2">
      <c r="A2739" s="763" t="s">
        <v>313</v>
      </c>
      <c r="B2739" s="331">
        <f t="shared" si="58"/>
        <v>486338.02000000025</v>
      </c>
      <c r="C2739" s="762">
        <v>227230.71000000028</v>
      </c>
      <c r="D2739" s="764">
        <v>984.52999999999224</v>
      </c>
      <c r="E2739" s="589">
        <v>258122.78</v>
      </c>
    </row>
    <row r="2740" spans="1:5" x14ac:dyDescent="0.2">
      <c r="A2740" s="763" t="s">
        <v>313</v>
      </c>
      <c r="B2740" s="331">
        <f t="shared" si="58"/>
        <v>486274.41000000027</v>
      </c>
      <c r="C2740" s="762">
        <v>227167.1000000003</v>
      </c>
      <c r="D2740" s="764">
        <v>984.52999999999224</v>
      </c>
      <c r="E2740" s="589">
        <v>258122.78</v>
      </c>
    </row>
    <row r="2741" spans="1:5" x14ac:dyDescent="0.2">
      <c r="A2741" s="763" t="s">
        <v>313</v>
      </c>
      <c r="B2741" s="331">
        <f t="shared" si="58"/>
        <v>486011.41000000027</v>
      </c>
      <c r="C2741" s="762">
        <v>226904.1000000003</v>
      </c>
      <c r="D2741" s="764">
        <v>984.52999999999224</v>
      </c>
      <c r="E2741" s="589">
        <v>258122.78</v>
      </c>
    </row>
    <row r="2742" spans="1:5" x14ac:dyDescent="0.2">
      <c r="A2742" s="763" t="s">
        <v>313</v>
      </c>
      <c r="B2742" s="331">
        <f t="shared" si="58"/>
        <v>485996.41000000027</v>
      </c>
      <c r="C2742" s="762">
        <v>226889.1000000003</v>
      </c>
      <c r="D2742" s="764">
        <v>984.52999999999224</v>
      </c>
      <c r="E2742" s="589">
        <v>258122.78</v>
      </c>
    </row>
    <row r="2743" spans="1:5" x14ac:dyDescent="0.2">
      <c r="A2743" s="763" t="s">
        <v>313</v>
      </c>
      <c r="B2743" s="331">
        <f t="shared" si="58"/>
        <v>485996.41000000027</v>
      </c>
      <c r="C2743" s="762">
        <v>226889.1000000003</v>
      </c>
      <c r="D2743" s="764">
        <v>984.52999999999224</v>
      </c>
      <c r="E2743" s="589">
        <v>258122.78</v>
      </c>
    </row>
    <row r="2744" spans="1:5" x14ac:dyDescent="0.2">
      <c r="A2744" s="763" t="s">
        <v>313</v>
      </c>
      <c r="B2744" s="331">
        <f t="shared" si="58"/>
        <v>485870.41000000027</v>
      </c>
      <c r="C2744" s="762">
        <v>226763.1000000003</v>
      </c>
      <c r="D2744" s="764">
        <v>984.52999999999224</v>
      </c>
      <c r="E2744" s="589">
        <v>258122.78</v>
      </c>
    </row>
    <row r="2745" spans="1:5" x14ac:dyDescent="0.2">
      <c r="A2745" s="763" t="s">
        <v>313</v>
      </c>
      <c r="B2745" s="331">
        <f t="shared" si="58"/>
        <v>484803.61000000034</v>
      </c>
      <c r="C2745" s="762">
        <v>225696.30000000031</v>
      </c>
      <c r="D2745" s="764">
        <v>984.52999999999224</v>
      </c>
      <c r="E2745" s="589">
        <v>258122.78</v>
      </c>
    </row>
    <row r="2746" spans="1:5" x14ac:dyDescent="0.2">
      <c r="A2746" s="763" t="s">
        <v>313</v>
      </c>
      <c r="B2746" s="331">
        <f t="shared" si="58"/>
        <v>484772.7600000003</v>
      </c>
      <c r="C2746" s="762">
        <v>225665.4500000003</v>
      </c>
      <c r="D2746" s="764">
        <v>984.52999999999224</v>
      </c>
      <c r="E2746" s="589">
        <v>258122.78</v>
      </c>
    </row>
    <row r="2747" spans="1:5" x14ac:dyDescent="0.2">
      <c r="A2747" s="763" t="s">
        <v>313</v>
      </c>
      <c r="B2747" s="331">
        <f t="shared" si="58"/>
        <v>484228.96000000031</v>
      </c>
      <c r="C2747" s="762">
        <v>225121.65000000031</v>
      </c>
      <c r="D2747" s="764">
        <v>984.52999999999224</v>
      </c>
      <c r="E2747" s="589">
        <v>258122.78</v>
      </c>
    </row>
    <row r="2748" spans="1:5" x14ac:dyDescent="0.2">
      <c r="A2748" s="763" t="s">
        <v>313</v>
      </c>
      <c r="B2748" s="331">
        <f t="shared" si="58"/>
        <v>484228.96000000031</v>
      </c>
      <c r="C2748" s="762">
        <v>225121.65000000031</v>
      </c>
      <c r="D2748" s="764">
        <v>984.52999999999224</v>
      </c>
      <c r="E2748" s="589">
        <v>258122.78</v>
      </c>
    </row>
    <row r="2749" spans="1:5" x14ac:dyDescent="0.2">
      <c r="A2749" s="763" t="s">
        <v>313</v>
      </c>
      <c r="B2749" s="331">
        <f t="shared" si="58"/>
        <v>484077.5100000003</v>
      </c>
      <c r="C2749" s="762">
        <v>224970.2000000003</v>
      </c>
      <c r="D2749" s="764">
        <v>984.52999999999224</v>
      </c>
      <c r="E2749" s="589">
        <v>258122.78</v>
      </c>
    </row>
    <row r="2750" spans="1:5" x14ac:dyDescent="0.2">
      <c r="A2750" s="763" t="s">
        <v>314</v>
      </c>
      <c r="B2750" s="331">
        <f t="shared" si="58"/>
        <v>483796.37000000029</v>
      </c>
      <c r="C2750" s="762">
        <v>224689.06000000029</v>
      </c>
      <c r="D2750" s="764">
        <v>984.52999999999224</v>
      </c>
      <c r="E2750" s="589">
        <v>258122.78</v>
      </c>
    </row>
    <row r="2751" spans="1:5" x14ac:dyDescent="0.2">
      <c r="A2751" s="763" t="s">
        <v>315</v>
      </c>
      <c r="B2751" s="331">
        <f t="shared" si="58"/>
        <v>483824.68000000028</v>
      </c>
      <c r="C2751" s="762">
        <v>224717.37000000029</v>
      </c>
      <c r="D2751" s="764">
        <v>984.52999999999224</v>
      </c>
      <c r="E2751" s="589">
        <v>258122.78</v>
      </c>
    </row>
    <row r="2752" spans="1:5" x14ac:dyDescent="0.2">
      <c r="A2752" s="763" t="s">
        <v>316</v>
      </c>
      <c r="B2752" s="331">
        <f t="shared" si="58"/>
        <v>483894.68000000028</v>
      </c>
      <c r="C2752" s="762">
        <v>224787.37000000029</v>
      </c>
      <c r="D2752" s="764">
        <v>984.52999999999224</v>
      </c>
      <c r="E2752" s="589">
        <v>258122.78</v>
      </c>
    </row>
    <row r="2753" spans="1:5" x14ac:dyDescent="0.2">
      <c r="A2753" s="763" t="s">
        <v>316</v>
      </c>
      <c r="B2753" s="331">
        <f t="shared" si="58"/>
        <v>483704.73000000027</v>
      </c>
      <c r="C2753" s="762">
        <v>225381.37000000029</v>
      </c>
      <c r="D2753" s="764">
        <v>200.5799999999922</v>
      </c>
      <c r="E2753" s="589">
        <v>258122.78</v>
      </c>
    </row>
    <row r="2754" spans="1:5" x14ac:dyDescent="0.2">
      <c r="A2754" s="763" t="s">
        <v>316</v>
      </c>
      <c r="B2754" s="331">
        <f t="shared" si="58"/>
        <v>484029.73000000027</v>
      </c>
      <c r="C2754" s="762">
        <v>225706.37000000029</v>
      </c>
      <c r="D2754" s="764">
        <v>200.5799999999922</v>
      </c>
      <c r="E2754" s="589">
        <v>258122.78</v>
      </c>
    </row>
    <row r="2755" spans="1:5" x14ac:dyDescent="0.2">
      <c r="A2755" s="763" t="s">
        <v>316</v>
      </c>
      <c r="B2755" s="331">
        <f t="shared" si="58"/>
        <v>484194.73000000027</v>
      </c>
      <c r="C2755" s="762">
        <v>225871.37000000029</v>
      </c>
      <c r="D2755" s="764">
        <v>200.5799999999922</v>
      </c>
      <c r="E2755" s="589">
        <v>258122.78</v>
      </c>
    </row>
    <row r="2756" spans="1:5" x14ac:dyDescent="0.2">
      <c r="A2756" s="763" t="s">
        <v>316</v>
      </c>
      <c r="B2756" s="331">
        <f t="shared" si="58"/>
        <v>487782.93000000028</v>
      </c>
      <c r="C2756" s="762">
        <v>229459.5700000003</v>
      </c>
      <c r="D2756" s="764">
        <v>200.5799999999922</v>
      </c>
      <c r="E2756" s="589">
        <v>258122.78</v>
      </c>
    </row>
    <row r="2757" spans="1:5" x14ac:dyDescent="0.2">
      <c r="A2757" s="763" t="s">
        <v>316</v>
      </c>
      <c r="B2757" s="331">
        <f t="shared" si="58"/>
        <v>487879.43000000028</v>
      </c>
      <c r="C2757" s="762">
        <v>229556.0700000003</v>
      </c>
      <c r="D2757" s="764">
        <v>200.5799999999922</v>
      </c>
      <c r="E2757" s="589">
        <v>258122.78</v>
      </c>
    </row>
    <row r="2758" spans="1:5" x14ac:dyDescent="0.2">
      <c r="A2758" s="763" t="s">
        <v>316</v>
      </c>
      <c r="B2758" s="331">
        <f t="shared" si="58"/>
        <v>505054.23000000027</v>
      </c>
      <c r="C2758" s="762">
        <v>246730.87000000029</v>
      </c>
      <c r="D2758" s="764">
        <v>200.5799999999922</v>
      </c>
      <c r="E2758" s="589">
        <v>258122.78</v>
      </c>
    </row>
    <row r="2759" spans="1:5" x14ac:dyDescent="0.2">
      <c r="A2759" s="763" t="s">
        <v>317</v>
      </c>
      <c r="B2759" s="331">
        <f t="shared" si="58"/>
        <v>504654.23000000027</v>
      </c>
      <c r="C2759" s="762">
        <v>246330.87000000029</v>
      </c>
      <c r="D2759" s="764">
        <v>200.5799999999922</v>
      </c>
      <c r="E2759" s="589">
        <v>258122.78</v>
      </c>
    </row>
    <row r="2760" spans="1:5" x14ac:dyDescent="0.2">
      <c r="A2760" s="763" t="s">
        <v>318</v>
      </c>
      <c r="B2760" s="331">
        <f t="shared" si="58"/>
        <v>465913.47000000026</v>
      </c>
      <c r="C2760" s="762">
        <v>207590.11000000028</v>
      </c>
      <c r="D2760" s="764">
        <v>200.5799999999922</v>
      </c>
      <c r="E2760" s="589">
        <v>258122.78</v>
      </c>
    </row>
    <row r="2761" spans="1:5" x14ac:dyDescent="0.2">
      <c r="A2761" s="763" t="s">
        <v>319</v>
      </c>
      <c r="B2761" s="331">
        <f t="shared" si="58"/>
        <v>464330.29000000027</v>
      </c>
      <c r="C2761" s="762">
        <v>206006.93000000028</v>
      </c>
      <c r="D2761" s="764">
        <v>200.5799999999922</v>
      </c>
      <c r="E2761" s="589">
        <v>258122.78</v>
      </c>
    </row>
    <row r="2762" spans="1:5" x14ac:dyDescent="0.2">
      <c r="A2762" s="763" t="s">
        <v>319</v>
      </c>
      <c r="B2762" s="331">
        <f t="shared" si="58"/>
        <v>463773.15000000026</v>
      </c>
      <c r="C2762" s="762">
        <v>205449.79000000027</v>
      </c>
      <c r="D2762" s="764">
        <v>200.5799999999922</v>
      </c>
      <c r="E2762" s="589">
        <v>258122.78</v>
      </c>
    </row>
    <row r="2763" spans="1:5" x14ac:dyDescent="0.2">
      <c r="A2763" s="763" t="s">
        <v>319</v>
      </c>
      <c r="B2763" s="331">
        <f t="shared" si="58"/>
        <v>463746.05000000028</v>
      </c>
      <c r="C2763" s="762">
        <v>205422.69000000026</v>
      </c>
      <c r="D2763" s="764">
        <v>200.5799999999922</v>
      </c>
      <c r="E2763" s="589">
        <v>258122.78</v>
      </c>
    </row>
    <row r="2764" spans="1:5" x14ac:dyDescent="0.2">
      <c r="A2764" s="763" t="s">
        <v>319</v>
      </c>
      <c r="B2764" s="331">
        <f t="shared" si="58"/>
        <v>463431.05000000028</v>
      </c>
      <c r="C2764" s="762">
        <v>205107.69000000026</v>
      </c>
      <c r="D2764" s="764">
        <v>200.5799999999922</v>
      </c>
      <c r="E2764" s="589">
        <v>258122.78</v>
      </c>
    </row>
    <row r="2765" spans="1:5" x14ac:dyDescent="0.2">
      <c r="A2765" s="763" t="s">
        <v>319</v>
      </c>
      <c r="B2765" s="331">
        <f t="shared" si="58"/>
        <v>463363.92000000027</v>
      </c>
      <c r="C2765" s="762">
        <v>205040.56000000026</v>
      </c>
      <c r="D2765" s="764">
        <v>200.5799999999922</v>
      </c>
      <c r="E2765" s="589">
        <v>258122.78</v>
      </c>
    </row>
    <row r="2766" spans="1:5" x14ac:dyDescent="0.2">
      <c r="A2766" s="763" t="s">
        <v>319</v>
      </c>
      <c r="B2766" s="331">
        <f t="shared" si="58"/>
        <v>462885.41000000027</v>
      </c>
      <c r="C2766" s="762">
        <v>204562.05000000025</v>
      </c>
      <c r="D2766" s="764">
        <v>200.5799999999922</v>
      </c>
      <c r="E2766" s="589">
        <v>258122.78</v>
      </c>
    </row>
    <row r="2767" spans="1:5" x14ac:dyDescent="0.2">
      <c r="A2767" s="763" t="s">
        <v>319</v>
      </c>
      <c r="B2767" s="331">
        <f t="shared" si="58"/>
        <v>462666.98000000021</v>
      </c>
      <c r="C2767" s="762">
        <v>204343.62000000026</v>
      </c>
      <c r="D2767" s="764">
        <v>200.5799999999922</v>
      </c>
      <c r="E2767" s="589">
        <v>258122.78</v>
      </c>
    </row>
    <row r="2768" spans="1:5" x14ac:dyDescent="0.2">
      <c r="A2768" s="763" t="s">
        <v>319</v>
      </c>
      <c r="B2768" s="331">
        <f t="shared" si="58"/>
        <v>462600.00000000023</v>
      </c>
      <c r="C2768" s="762">
        <v>204276.64000000025</v>
      </c>
      <c r="D2768" s="764">
        <v>200.5799999999922</v>
      </c>
      <c r="E2768" s="589">
        <v>258122.78</v>
      </c>
    </row>
    <row r="2769" spans="1:5" x14ac:dyDescent="0.2">
      <c r="A2769" s="763" t="s">
        <v>319</v>
      </c>
      <c r="B2769" s="331">
        <f t="shared" si="58"/>
        <v>462336.37000000023</v>
      </c>
      <c r="C2769" s="762">
        <v>204012.71000000025</v>
      </c>
      <c r="D2769" s="764">
        <v>200.87999999999221</v>
      </c>
      <c r="E2769" s="589">
        <v>258122.78</v>
      </c>
    </row>
    <row r="2770" spans="1:5" x14ac:dyDescent="0.2">
      <c r="A2770" s="763" t="s">
        <v>319</v>
      </c>
      <c r="B2770" s="331">
        <f t="shared" si="58"/>
        <v>462687.81000000029</v>
      </c>
      <c r="C2770" s="762">
        <v>203574.03000000026</v>
      </c>
      <c r="D2770" s="764">
        <v>991</v>
      </c>
      <c r="E2770" s="589">
        <v>258122.78</v>
      </c>
    </row>
    <row r="2771" spans="1:5" x14ac:dyDescent="0.2">
      <c r="A2771" s="763" t="s">
        <v>319</v>
      </c>
      <c r="B2771" s="331">
        <f t="shared" si="58"/>
        <v>462434.8200000003</v>
      </c>
      <c r="C2771" s="762">
        <v>203321.04000000027</v>
      </c>
      <c r="D2771" s="764">
        <v>991</v>
      </c>
      <c r="E2771" s="589">
        <v>258122.78</v>
      </c>
    </row>
    <row r="2772" spans="1:5" x14ac:dyDescent="0.2">
      <c r="A2772" s="763" t="s">
        <v>319</v>
      </c>
      <c r="B2772" s="331">
        <f t="shared" si="58"/>
        <v>462326.84000000026</v>
      </c>
      <c r="C2772" s="762">
        <v>203213.06000000026</v>
      </c>
      <c r="D2772" s="764">
        <v>991</v>
      </c>
      <c r="E2772" s="589">
        <v>258122.78</v>
      </c>
    </row>
    <row r="2773" spans="1:5" x14ac:dyDescent="0.2">
      <c r="A2773" s="763" t="s">
        <v>319</v>
      </c>
      <c r="B2773" s="331">
        <f t="shared" si="58"/>
        <v>462326.84000000026</v>
      </c>
      <c r="C2773" s="762">
        <v>203213.06000000026</v>
      </c>
      <c r="D2773" s="764">
        <v>991</v>
      </c>
      <c r="E2773" s="589">
        <v>258122.78</v>
      </c>
    </row>
    <row r="2774" spans="1:5" x14ac:dyDescent="0.2">
      <c r="A2774" s="763" t="s">
        <v>320</v>
      </c>
      <c r="B2774" s="331">
        <f t="shared" si="58"/>
        <v>462679.05000000028</v>
      </c>
      <c r="C2774" s="762">
        <v>202648.06000000026</v>
      </c>
      <c r="D2774" s="764">
        <v>1908.2099999999905</v>
      </c>
      <c r="E2774" s="589">
        <v>258122.78</v>
      </c>
    </row>
    <row r="2775" spans="1:5" x14ac:dyDescent="0.2">
      <c r="A2775" s="763" t="s">
        <v>320</v>
      </c>
      <c r="B2775" s="331">
        <f t="shared" si="58"/>
        <v>461481.0900000002</v>
      </c>
      <c r="C2775" s="762">
        <v>202366.92000000025</v>
      </c>
      <c r="D2775" s="764">
        <v>991.38999999999044</v>
      </c>
      <c r="E2775" s="589">
        <v>258122.78</v>
      </c>
    </row>
    <row r="2776" spans="1:5" x14ac:dyDescent="0.2">
      <c r="A2776" s="763" t="s">
        <v>320</v>
      </c>
      <c r="B2776" s="331">
        <f t="shared" ref="B2776:B2839" si="59">C2776+D2776+E2776</f>
        <v>461451.99000000022</v>
      </c>
      <c r="C2776" s="762">
        <v>202337.82000000024</v>
      </c>
      <c r="D2776" s="764">
        <v>991.38999999999044</v>
      </c>
      <c r="E2776" s="589">
        <v>258122.78</v>
      </c>
    </row>
    <row r="2777" spans="1:5" x14ac:dyDescent="0.2">
      <c r="A2777" s="763" t="s">
        <v>321</v>
      </c>
      <c r="B2777" s="331">
        <f t="shared" si="59"/>
        <v>457229.2200000002</v>
      </c>
      <c r="C2777" s="762">
        <v>198115.05000000025</v>
      </c>
      <c r="D2777" s="764">
        <v>991.38999999999044</v>
      </c>
      <c r="E2777" s="589">
        <v>258122.78</v>
      </c>
    </row>
    <row r="2778" spans="1:5" x14ac:dyDescent="0.2">
      <c r="A2778" s="763" t="s">
        <v>322</v>
      </c>
      <c r="B2778" s="331">
        <f t="shared" si="59"/>
        <v>458632.71000000025</v>
      </c>
      <c r="C2778" s="762">
        <v>198061.53000000026</v>
      </c>
      <c r="D2778" s="764">
        <v>991.38999999999044</v>
      </c>
      <c r="E2778" s="589">
        <v>259579.79</v>
      </c>
    </row>
    <row r="2779" spans="1:5" x14ac:dyDescent="0.2">
      <c r="A2779" s="763" t="s">
        <v>322</v>
      </c>
      <c r="B2779" s="331">
        <f t="shared" si="59"/>
        <v>458382.71000000025</v>
      </c>
      <c r="C2779" s="762">
        <v>197811.53000000026</v>
      </c>
      <c r="D2779" s="764">
        <v>991.38999999999044</v>
      </c>
      <c r="E2779" s="589">
        <v>259579.79</v>
      </c>
    </row>
    <row r="2780" spans="1:5" x14ac:dyDescent="0.2">
      <c r="A2780" s="763" t="s">
        <v>322</v>
      </c>
      <c r="B2780" s="331">
        <f t="shared" si="59"/>
        <v>458187.01000000024</v>
      </c>
      <c r="C2780" s="762">
        <v>197615.83000000025</v>
      </c>
      <c r="D2780" s="764">
        <v>991.38999999999044</v>
      </c>
      <c r="E2780" s="589">
        <v>259579.79</v>
      </c>
    </row>
    <row r="2781" spans="1:5" x14ac:dyDescent="0.2">
      <c r="A2781" s="763" t="s">
        <v>322</v>
      </c>
      <c r="B2781" s="331">
        <f t="shared" si="59"/>
        <v>452303.18000000028</v>
      </c>
      <c r="C2781" s="762">
        <v>191732.00000000026</v>
      </c>
      <c r="D2781" s="764">
        <v>991.38999999999044</v>
      </c>
      <c r="E2781" s="589">
        <v>259579.79</v>
      </c>
    </row>
    <row r="2782" spans="1:5" x14ac:dyDescent="0.2">
      <c r="A2782" s="763" t="s">
        <v>322</v>
      </c>
      <c r="B2782" s="331">
        <f t="shared" si="59"/>
        <v>452291.03000000026</v>
      </c>
      <c r="C2782" s="762">
        <v>191719.85000000027</v>
      </c>
      <c r="D2782" s="764">
        <v>991.38999999999044</v>
      </c>
      <c r="E2782" s="589">
        <v>259579.79</v>
      </c>
    </row>
    <row r="2783" spans="1:5" x14ac:dyDescent="0.2">
      <c r="A2783" s="763" t="s">
        <v>322</v>
      </c>
      <c r="B2783" s="331">
        <f t="shared" si="59"/>
        <v>452260.18000000028</v>
      </c>
      <c r="C2783" s="762">
        <v>191689.00000000026</v>
      </c>
      <c r="D2783" s="764">
        <v>991.38999999999044</v>
      </c>
      <c r="E2783" s="589">
        <v>259579.79</v>
      </c>
    </row>
    <row r="2784" spans="1:5" x14ac:dyDescent="0.2">
      <c r="A2784" s="763" t="s">
        <v>322</v>
      </c>
      <c r="B2784" s="331">
        <f t="shared" si="59"/>
        <v>450195.52000000025</v>
      </c>
      <c r="C2784" s="762">
        <v>189624.34000000026</v>
      </c>
      <c r="D2784" s="764">
        <v>991.38999999999044</v>
      </c>
      <c r="E2784" s="589">
        <v>259579.79</v>
      </c>
    </row>
    <row r="2785" spans="1:5" x14ac:dyDescent="0.2">
      <c r="A2785" s="763" t="s">
        <v>322</v>
      </c>
      <c r="B2785" s="331">
        <f t="shared" si="59"/>
        <v>444769.52000000025</v>
      </c>
      <c r="C2785" s="762">
        <v>184198.34000000026</v>
      </c>
      <c r="D2785" s="764">
        <v>991.38999999999044</v>
      </c>
      <c r="E2785" s="589">
        <v>259579.79</v>
      </c>
    </row>
    <row r="2786" spans="1:5" x14ac:dyDescent="0.2">
      <c r="A2786" s="763" t="s">
        <v>322</v>
      </c>
      <c r="B2786" s="331">
        <f t="shared" si="59"/>
        <v>444413.46000000025</v>
      </c>
      <c r="C2786" s="762">
        <v>183842.28000000026</v>
      </c>
      <c r="D2786" s="764">
        <v>991.38999999999044</v>
      </c>
      <c r="E2786" s="589">
        <v>259579.79</v>
      </c>
    </row>
    <row r="2787" spans="1:5" x14ac:dyDescent="0.2">
      <c r="A2787" s="763" t="s">
        <v>322</v>
      </c>
      <c r="B2787" s="331">
        <f t="shared" si="59"/>
        <v>444268.06000000029</v>
      </c>
      <c r="C2787" s="762">
        <v>183696.88000000027</v>
      </c>
      <c r="D2787" s="764">
        <v>991.38999999999044</v>
      </c>
      <c r="E2787" s="589">
        <v>259579.79</v>
      </c>
    </row>
    <row r="2788" spans="1:5" x14ac:dyDescent="0.2">
      <c r="A2788" s="763" t="s">
        <v>322</v>
      </c>
      <c r="B2788" s="331">
        <f t="shared" si="59"/>
        <v>444054.12000000023</v>
      </c>
      <c r="C2788" s="762">
        <v>183482.94000000026</v>
      </c>
      <c r="D2788" s="764">
        <v>991.38999999999044</v>
      </c>
      <c r="E2788" s="589">
        <v>259579.79</v>
      </c>
    </row>
    <row r="2789" spans="1:5" x14ac:dyDescent="0.2">
      <c r="A2789" s="763" t="s">
        <v>323</v>
      </c>
      <c r="B2789" s="331">
        <f t="shared" si="59"/>
        <v>443229.12000000023</v>
      </c>
      <c r="C2789" s="762">
        <v>183448.44000000026</v>
      </c>
      <c r="D2789" s="764">
        <v>200.88999999999044</v>
      </c>
      <c r="E2789" s="589">
        <v>259579.79</v>
      </c>
    </row>
    <row r="2790" spans="1:5" x14ac:dyDescent="0.2">
      <c r="A2790" s="763" t="s">
        <v>324</v>
      </c>
      <c r="B2790" s="331">
        <f t="shared" si="59"/>
        <v>439006.35000000027</v>
      </c>
      <c r="C2790" s="762">
        <v>179225.67000000027</v>
      </c>
      <c r="D2790" s="764">
        <v>200.88999999999044</v>
      </c>
      <c r="E2790" s="589">
        <v>259579.79</v>
      </c>
    </row>
    <row r="2791" spans="1:5" x14ac:dyDescent="0.2">
      <c r="A2791" s="763" t="s">
        <v>324</v>
      </c>
      <c r="B2791" s="331">
        <f t="shared" si="59"/>
        <v>443229.12000000023</v>
      </c>
      <c r="C2791" s="762">
        <v>183448.44000000026</v>
      </c>
      <c r="D2791" s="764">
        <v>200.88999999999044</v>
      </c>
      <c r="E2791" s="589">
        <v>259579.79</v>
      </c>
    </row>
    <row r="2792" spans="1:5" x14ac:dyDescent="0.2">
      <c r="A2792" s="763" t="s">
        <v>325</v>
      </c>
      <c r="B2792" s="331">
        <f t="shared" si="59"/>
        <v>443079.12000000023</v>
      </c>
      <c r="C2792" s="762">
        <v>183298.44000000026</v>
      </c>
      <c r="D2792" s="764">
        <v>200.88999999999044</v>
      </c>
      <c r="E2792" s="589">
        <v>259579.79</v>
      </c>
    </row>
    <row r="2793" spans="1:5" x14ac:dyDescent="0.2">
      <c r="A2793" s="763" t="s">
        <v>325</v>
      </c>
      <c r="B2793" s="331">
        <f t="shared" si="59"/>
        <v>440472.67000000027</v>
      </c>
      <c r="C2793" s="762">
        <v>180691.99000000025</v>
      </c>
      <c r="D2793" s="764">
        <v>200.88999999999044</v>
      </c>
      <c r="E2793" s="589">
        <v>259579.79</v>
      </c>
    </row>
    <row r="2794" spans="1:5" x14ac:dyDescent="0.2">
      <c r="A2794" s="763" t="s">
        <v>325</v>
      </c>
      <c r="B2794" s="331">
        <f t="shared" si="59"/>
        <v>440247.41000000027</v>
      </c>
      <c r="C2794" s="762">
        <v>180466.73000000024</v>
      </c>
      <c r="D2794" s="764">
        <v>200.88999999999044</v>
      </c>
      <c r="E2794" s="589">
        <v>259579.79</v>
      </c>
    </row>
    <row r="2795" spans="1:5" x14ac:dyDescent="0.2">
      <c r="A2795" s="763" t="s">
        <v>325</v>
      </c>
      <c r="B2795" s="331">
        <f t="shared" si="59"/>
        <v>440057.01000000024</v>
      </c>
      <c r="C2795" s="762">
        <v>180276.33000000025</v>
      </c>
      <c r="D2795" s="764">
        <v>200.88999999999044</v>
      </c>
      <c r="E2795" s="589">
        <v>259579.79</v>
      </c>
    </row>
    <row r="2796" spans="1:5" x14ac:dyDescent="0.2">
      <c r="A2796" s="763" t="s">
        <v>325</v>
      </c>
      <c r="B2796" s="331">
        <f t="shared" si="59"/>
        <v>437992.35000000021</v>
      </c>
      <c r="C2796" s="762">
        <v>178211.67000000025</v>
      </c>
      <c r="D2796" s="764">
        <v>200.88999999999044</v>
      </c>
      <c r="E2796" s="589">
        <v>259579.79</v>
      </c>
    </row>
    <row r="2797" spans="1:5" x14ac:dyDescent="0.2">
      <c r="A2797" s="763" t="s">
        <v>325</v>
      </c>
      <c r="B2797" s="331">
        <f t="shared" si="59"/>
        <v>434392.35000000021</v>
      </c>
      <c r="C2797" s="762">
        <v>174611.67000000025</v>
      </c>
      <c r="D2797" s="764">
        <v>200.88999999999044</v>
      </c>
      <c r="E2797" s="589">
        <v>259579.79</v>
      </c>
    </row>
    <row r="2798" spans="1:5" x14ac:dyDescent="0.2">
      <c r="A2798" s="763" t="s">
        <v>325</v>
      </c>
      <c r="B2798" s="331">
        <f t="shared" si="59"/>
        <v>433778.74000000022</v>
      </c>
      <c r="C2798" s="762">
        <v>173998.06000000026</v>
      </c>
      <c r="D2798" s="764">
        <v>200.88999999999044</v>
      </c>
      <c r="E2798" s="589">
        <v>259579.79</v>
      </c>
    </row>
    <row r="2799" spans="1:5" x14ac:dyDescent="0.2">
      <c r="A2799" s="763" t="s">
        <v>325</v>
      </c>
      <c r="B2799" s="331">
        <f t="shared" si="59"/>
        <v>393082.03000000026</v>
      </c>
      <c r="C2799" s="762">
        <v>133301.35000000027</v>
      </c>
      <c r="D2799" s="764">
        <v>200.88999999999044</v>
      </c>
      <c r="E2799" s="589">
        <v>259579.79</v>
      </c>
    </row>
    <row r="2800" spans="1:5" x14ac:dyDescent="0.2">
      <c r="A2800" s="763" t="s">
        <v>326</v>
      </c>
      <c r="B2800" s="331">
        <f t="shared" si="59"/>
        <v>393082.03000000026</v>
      </c>
      <c r="C2800" s="762">
        <v>133301.35000000027</v>
      </c>
      <c r="D2800" s="764">
        <v>200.88999999999044</v>
      </c>
      <c r="E2800" s="589">
        <v>259579.79</v>
      </c>
    </row>
    <row r="2801" spans="1:5" x14ac:dyDescent="0.2">
      <c r="A2801" s="763" t="s">
        <v>326</v>
      </c>
      <c r="B2801" s="331">
        <f t="shared" si="59"/>
        <v>393019.73000000027</v>
      </c>
      <c r="C2801" s="762">
        <v>133239.05000000028</v>
      </c>
      <c r="D2801" s="764">
        <v>200.88999999999044</v>
      </c>
      <c r="E2801" s="589">
        <v>259579.79</v>
      </c>
    </row>
    <row r="2802" spans="1:5" x14ac:dyDescent="0.2">
      <c r="A2802" s="763" t="s">
        <v>326</v>
      </c>
      <c r="B2802" s="331">
        <f t="shared" si="59"/>
        <v>392950.43000000028</v>
      </c>
      <c r="C2802" s="762">
        <v>133169.75000000029</v>
      </c>
      <c r="D2802" s="764">
        <v>200.88999999999044</v>
      </c>
      <c r="E2802" s="589">
        <v>259579.79</v>
      </c>
    </row>
    <row r="2803" spans="1:5" x14ac:dyDescent="0.2">
      <c r="A2803" s="763" t="s">
        <v>326</v>
      </c>
      <c r="B2803" s="331">
        <f t="shared" si="59"/>
        <v>409748.8200000003</v>
      </c>
      <c r="C2803" s="762">
        <v>149968.14000000031</v>
      </c>
      <c r="D2803" s="764">
        <v>200.88999999999044</v>
      </c>
      <c r="E2803" s="589">
        <v>259579.79</v>
      </c>
    </row>
    <row r="2804" spans="1:5" x14ac:dyDescent="0.2">
      <c r="A2804" s="763" t="s">
        <v>326</v>
      </c>
      <c r="B2804" s="331">
        <f t="shared" si="59"/>
        <v>409798.8200000003</v>
      </c>
      <c r="C2804" s="762">
        <v>150018.14000000031</v>
      </c>
      <c r="D2804" s="764">
        <v>200.88999999999044</v>
      </c>
      <c r="E2804" s="589">
        <v>259579.79</v>
      </c>
    </row>
    <row r="2805" spans="1:5" x14ac:dyDescent="0.2">
      <c r="A2805" s="763" t="s">
        <v>326</v>
      </c>
      <c r="B2805" s="331">
        <f t="shared" si="59"/>
        <v>410080.3200000003</v>
      </c>
      <c r="C2805" s="762">
        <v>150299.64000000031</v>
      </c>
      <c r="D2805" s="764">
        <v>200.88999999999044</v>
      </c>
      <c r="E2805" s="589">
        <v>259579.79</v>
      </c>
    </row>
    <row r="2806" spans="1:5" x14ac:dyDescent="0.2">
      <c r="A2806" s="763" t="s">
        <v>326</v>
      </c>
      <c r="B2806" s="331">
        <f t="shared" si="59"/>
        <v>410265.3200000003</v>
      </c>
      <c r="C2806" s="762">
        <v>150484.64000000031</v>
      </c>
      <c r="D2806" s="764">
        <v>200.88999999999032</v>
      </c>
      <c r="E2806" s="589">
        <v>259579.79</v>
      </c>
    </row>
    <row r="2807" spans="1:5" x14ac:dyDescent="0.2">
      <c r="A2807" s="763" t="s">
        <v>326</v>
      </c>
      <c r="B2807" s="331">
        <f t="shared" si="59"/>
        <v>410650.3200000003</v>
      </c>
      <c r="C2807" s="762">
        <v>150869.64000000031</v>
      </c>
      <c r="D2807" s="764">
        <v>200.88999999999044</v>
      </c>
      <c r="E2807" s="589">
        <v>259579.79</v>
      </c>
    </row>
    <row r="2808" spans="1:5" x14ac:dyDescent="0.2">
      <c r="A2808" s="763" t="s">
        <v>326</v>
      </c>
      <c r="B2808" s="331">
        <f t="shared" si="59"/>
        <v>410650.3200000003</v>
      </c>
      <c r="C2808" s="762">
        <v>150869.64000000031</v>
      </c>
      <c r="D2808" s="764">
        <v>200.88999999999044</v>
      </c>
      <c r="E2808" s="589">
        <v>259579.79</v>
      </c>
    </row>
    <row r="2809" spans="1:5" x14ac:dyDescent="0.2">
      <c r="A2809" s="763" t="s">
        <v>326</v>
      </c>
      <c r="B2809" s="331">
        <f t="shared" si="59"/>
        <v>410650.3200000003</v>
      </c>
      <c r="C2809" s="762">
        <v>150869.64000000031</v>
      </c>
      <c r="D2809" s="764">
        <v>200.88999999999044</v>
      </c>
      <c r="E2809" s="589">
        <v>259579.79</v>
      </c>
    </row>
    <row r="2810" spans="1:5" x14ac:dyDescent="0.2">
      <c r="A2810" s="763" t="s">
        <v>326</v>
      </c>
      <c r="B2810" s="331">
        <f t="shared" si="59"/>
        <v>410650.3200000003</v>
      </c>
      <c r="C2810" s="762">
        <v>150869.64000000031</v>
      </c>
      <c r="D2810" s="764">
        <v>200.88999999999044</v>
      </c>
      <c r="E2810" s="589">
        <v>259579.79</v>
      </c>
    </row>
    <row r="2811" spans="1:5" x14ac:dyDescent="0.2">
      <c r="A2811" s="763" t="s">
        <v>326</v>
      </c>
      <c r="B2811" s="331">
        <f t="shared" si="59"/>
        <v>410650.3200000003</v>
      </c>
      <c r="C2811" s="762">
        <v>150869.64000000031</v>
      </c>
      <c r="D2811" s="764">
        <v>200.88999999999044</v>
      </c>
      <c r="E2811" s="589">
        <v>259579.79</v>
      </c>
    </row>
    <row r="2812" spans="1:5" x14ac:dyDescent="0.2">
      <c r="A2812" s="763" t="s">
        <v>326</v>
      </c>
      <c r="B2812" s="331">
        <f t="shared" si="59"/>
        <v>411263.96000000031</v>
      </c>
      <c r="C2812" s="762">
        <v>150529.68000000031</v>
      </c>
      <c r="D2812" s="764">
        <v>1154.4899999999921</v>
      </c>
      <c r="E2812" s="589">
        <v>259579.79</v>
      </c>
    </row>
    <row r="2813" spans="1:5" x14ac:dyDescent="0.2">
      <c r="A2813" s="763" t="s">
        <v>326</v>
      </c>
      <c r="B2813" s="331">
        <f t="shared" si="59"/>
        <v>408346.0700000003</v>
      </c>
      <c r="C2813" s="762">
        <v>147611.7900000003</v>
      </c>
      <c r="D2813" s="764">
        <v>1154.4899999999921</v>
      </c>
      <c r="E2813" s="589">
        <v>259579.79</v>
      </c>
    </row>
    <row r="2814" spans="1:5" x14ac:dyDescent="0.2">
      <c r="A2814" s="763" t="s">
        <v>327</v>
      </c>
      <c r="B2814" s="331">
        <f t="shared" si="59"/>
        <v>408270.10000000033</v>
      </c>
      <c r="C2814" s="762">
        <v>147535.8200000003</v>
      </c>
      <c r="D2814" s="764">
        <v>1154.4899999999921</v>
      </c>
      <c r="E2814" s="589">
        <v>259579.79</v>
      </c>
    </row>
    <row r="2815" spans="1:5" x14ac:dyDescent="0.2">
      <c r="A2815" s="763" t="s">
        <v>327</v>
      </c>
      <c r="B2815" s="331">
        <f t="shared" si="59"/>
        <v>402773.02000000031</v>
      </c>
      <c r="C2815" s="762">
        <v>142038.74000000031</v>
      </c>
      <c r="D2815" s="764">
        <v>1154.4899999999921</v>
      </c>
      <c r="E2815" s="589">
        <v>259579.79</v>
      </c>
    </row>
    <row r="2816" spans="1:5" x14ac:dyDescent="0.2">
      <c r="A2816" s="763" t="s">
        <v>327</v>
      </c>
      <c r="B2816" s="331">
        <f t="shared" si="59"/>
        <v>402752.02000000031</v>
      </c>
      <c r="C2816" s="762">
        <v>142017.74000000031</v>
      </c>
      <c r="D2816" s="764">
        <v>1154.4899999999921</v>
      </c>
      <c r="E2816" s="589">
        <v>259579.79</v>
      </c>
    </row>
    <row r="2817" spans="1:5" x14ac:dyDescent="0.2">
      <c r="A2817" s="763" t="s">
        <v>327</v>
      </c>
      <c r="B2817" s="331">
        <f t="shared" si="59"/>
        <v>402674.34000000032</v>
      </c>
      <c r="C2817" s="762">
        <v>141940.06000000032</v>
      </c>
      <c r="D2817" s="764">
        <v>1154.4899999999921</v>
      </c>
      <c r="E2817" s="589">
        <v>259579.79</v>
      </c>
    </row>
    <row r="2818" spans="1:5" x14ac:dyDescent="0.2">
      <c r="A2818" s="763" t="s">
        <v>327</v>
      </c>
      <c r="B2818" s="331">
        <f t="shared" si="59"/>
        <v>402624.79000000033</v>
      </c>
      <c r="C2818" s="762">
        <v>141890.51000000033</v>
      </c>
      <c r="D2818" s="764">
        <v>1154.4899999999921</v>
      </c>
      <c r="E2818" s="589">
        <v>259579.79</v>
      </c>
    </row>
    <row r="2819" spans="1:5" x14ac:dyDescent="0.2">
      <c r="A2819" s="763" t="s">
        <v>327</v>
      </c>
      <c r="B2819" s="331">
        <f t="shared" si="59"/>
        <v>402358.40000000031</v>
      </c>
      <c r="C2819" s="762">
        <v>141624.12000000032</v>
      </c>
      <c r="D2819" s="764">
        <v>1154.4899999999921</v>
      </c>
      <c r="E2819" s="589">
        <v>259579.79</v>
      </c>
    </row>
    <row r="2820" spans="1:5" x14ac:dyDescent="0.2">
      <c r="A2820" s="763" t="s">
        <v>327</v>
      </c>
      <c r="B2820" s="331">
        <f t="shared" si="59"/>
        <v>401844.60000000033</v>
      </c>
      <c r="C2820" s="762">
        <v>141110.32000000033</v>
      </c>
      <c r="D2820" s="764">
        <v>1154.4899999999921</v>
      </c>
      <c r="E2820" s="589">
        <v>259579.79</v>
      </c>
    </row>
    <row r="2821" spans="1:5" x14ac:dyDescent="0.2">
      <c r="A2821" s="763" t="s">
        <v>327</v>
      </c>
      <c r="B2821" s="331">
        <f t="shared" si="59"/>
        <v>401817.59000000032</v>
      </c>
      <c r="C2821" s="762">
        <v>141083.31000000032</v>
      </c>
      <c r="D2821" s="764">
        <v>1154.4899999999921</v>
      </c>
      <c r="E2821" s="589">
        <v>259579.79</v>
      </c>
    </row>
    <row r="2822" spans="1:5" x14ac:dyDescent="0.2">
      <c r="A2822" s="763" t="s">
        <v>327</v>
      </c>
      <c r="B2822" s="331">
        <f t="shared" si="59"/>
        <v>396295.61000000034</v>
      </c>
      <c r="C2822" s="762">
        <v>135561.33000000031</v>
      </c>
      <c r="D2822" s="764">
        <v>1154.4899999999921</v>
      </c>
      <c r="E2822" s="589">
        <v>259579.79</v>
      </c>
    </row>
    <row r="2823" spans="1:5" x14ac:dyDescent="0.2">
      <c r="A2823" s="763" t="s">
        <v>327</v>
      </c>
      <c r="B2823" s="331">
        <f t="shared" si="59"/>
        <v>395700.61000000034</v>
      </c>
      <c r="C2823" s="762">
        <v>134966.33000000031</v>
      </c>
      <c r="D2823" s="764">
        <v>1154.4899999999921</v>
      </c>
      <c r="E2823" s="589">
        <v>259579.79</v>
      </c>
    </row>
    <row r="2824" spans="1:5" x14ac:dyDescent="0.2">
      <c r="A2824" s="763" t="s">
        <v>327</v>
      </c>
      <c r="B2824" s="331">
        <f t="shared" si="59"/>
        <v>395160.05000000028</v>
      </c>
      <c r="C2824" s="762">
        <v>134425.77000000031</v>
      </c>
      <c r="D2824" s="764">
        <v>1154.4899999999921</v>
      </c>
      <c r="E2824" s="589">
        <v>259579.79</v>
      </c>
    </row>
    <row r="2825" spans="1:5" x14ac:dyDescent="0.2">
      <c r="A2825" s="763" t="s">
        <v>327</v>
      </c>
      <c r="B2825" s="331">
        <f t="shared" si="59"/>
        <v>394897.05000000028</v>
      </c>
      <c r="C2825" s="762">
        <v>134162.77000000031</v>
      </c>
      <c r="D2825" s="764">
        <v>1154.4899999999921</v>
      </c>
      <c r="E2825" s="589">
        <v>259579.79</v>
      </c>
    </row>
    <row r="2826" spans="1:5" x14ac:dyDescent="0.2">
      <c r="A2826" s="763" t="s">
        <v>327</v>
      </c>
      <c r="B2826" s="331">
        <f t="shared" si="59"/>
        <v>394629.75000000035</v>
      </c>
      <c r="C2826" s="762">
        <v>133895.47000000032</v>
      </c>
      <c r="D2826" s="764">
        <v>1154.4899999999921</v>
      </c>
      <c r="E2826" s="589">
        <v>259579.79</v>
      </c>
    </row>
    <row r="2827" spans="1:5" x14ac:dyDescent="0.2">
      <c r="A2827" s="763" t="s">
        <v>327</v>
      </c>
      <c r="B2827" s="331">
        <f t="shared" si="59"/>
        <v>394504.75000000035</v>
      </c>
      <c r="C2827" s="762">
        <v>133770.47000000032</v>
      </c>
      <c r="D2827" s="764">
        <v>1154.4899999999921</v>
      </c>
      <c r="E2827" s="589">
        <v>259579.79</v>
      </c>
    </row>
    <row r="2828" spans="1:5" x14ac:dyDescent="0.2">
      <c r="A2828" s="763" t="s">
        <v>327</v>
      </c>
      <c r="B2828" s="331">
        <f t="shared" si="59"/>
        <v>393701.18000000028</v>
      </c>
      <c r="C2828" s="762">
        <v>133770.47000000032</v>
      </c>
      <c r="D2828" s="764">
        <v>350.919999999992</v>
      </c>
      <c r="E2828" s="589">
        <v>259579.79</v>
      </c>
    </row>
    <row r="2829" spans="1:5" x14ac:dyDescent="0.2">
      <c r="A2829" s="763" t="s">
        <v>327</v>
      </c>
      <c r="B2829" s="331">
        <f t="shared" si="59"/>
        <v>393014.66000000032</v>
      </c>
      <c r="C2829" s="762">
        <v>133083.95000000033</v>
      </c>
      <c r="D2829" s="764">
        <v>350.919999999992</v>
      </c>
      <c r="E2829" s="589">
        <v>259579.79</v>
      </c>
    </row>
    <row r="2830" spans="1:5" x14ac:dyDescent="0.2">
      <c r="A2830" s="763" t="s">
        <v>327</v>
      </c>
      <c r="B2830" s="331">
        <f t="shared" si="59"/>
        <v>419107.35000000033</v>
      </c>
      <c r="C2830" s="762">
        <v>159176.64000000033</v>
      </c>
      <c r="D2830" s="764">
        <v>350.919999999992</v>
      </c>
      <c r="E2830" s="589">
        <v>259579.79</v>
      </c>
    </row>
    <row r="2831" spans="1:5" x14ac:dyDescent="0.2">
      <c r="A2831" s="763" t="s">
        <v>327</v>
      </c>
      <c r="B2831" s="331">
        <f t="shared" si="59"/>
        <v>419124.99000000034</v>
      </c>
      <c r="C2831" s="762">
        <v>159194.28000000035</v>
      </c>
      <c r="D2831" s="764">
        <v>350.919999999992</v>
      </c>
      <c r="E2831" s="589">
        <v>259579.79</v>
      </c>
    </row>
    <row r="2832" spans="1:5" x14ac:dyDescent="0.2">
      <c r="A2832" s="763" t="s">
        <v>327</v>
      </c>
      <c r="B2832" s="331">
        <f t="shared" si="59"/>
        <v>433810.2000000003</v>
      </c>
      <c r="C2832" s="762">
        <v>173879.49000000034</v>
      </c>
      <c r="D2832" s="764">
        <v>350.919999999992</v>
      </c>
      <c r="E2832" s="589">
        <v>259579.79</v>
      </c>
    </row>
    <row r="2833" spans="1:5" x14ac:dyDescent="0.2">
      <c r="A2833" s="763" t="s">
        <v>328</v>
      </c>
      <c r="B2833" s="331">
        <f t="shared" si="59"/>
        <v>433714.06000000029</v>
      </c>
      <c r="C2833" s="762">
        <v>173783.35000000033</v>
      </c>
      <c r="D2833" s="764">
        <v>350.919999999992</v>
      </c>
      <c r="E2833" s="589">
        <v>259579.79</v>
      </c>
    </row>
    <row r="2834" spans="1:5" x14ac:dyDescent="0.2">
      <c r="A2834" s="763" t="s">
        <v>328</v>
      </c>
      <c r="B2834" s="331">
        <f t="shared" si="59"/>
        <v>433695.06000000029</v>
      </c>
      <c r="C2834" s="762">
        <v>173764.35000000033</v>
      </c>
      <c r="D2834" s="764">
        <v>350.919999999992</v>
      </c>
      <c r="E2834" s="589">
        <v>259579.79</v>
      </c>
    </row>
    <row r="2835" spans="1:5" x14ac:dyDescent="0.2">
      <c r="A2835" s="763" t="s">
        <v>328</v>
      </c>
      <c r="B2835" s="331">
        <f t="shared" si="59"/>
        <v>433563.3200000003</v>
      </c>
      <c r="C2835" s="762">
        <v>173632.61000000034</v>
      </c>
      <c r="D2835" s="764">
        <v>350.919999999992</v>
      </c>
      <c r="E2835" s="589">
        <v>259579.79</v>
      </c>
    </row>
    <row r="2836" spans="1:5" x14ac:dyDescent="0.2">
      <c r="A2836" s="763" t="s">
        <v>329</v>
      </c>
      <c r="B2836" s="331">
        <f t="shared" si="59"/>
        <v>430645.72000000032</v>
      </c>
      <c r="C2836" s="762">
        <v>170714.72000000032</v>
      </c>
      <c r="D2836" s="764">
        <v>351.20999999999202</v>
      </c>
      <c r="E2836" s="589">
        <v>259579.79</v>
      </c>
    </row>
    <row r="2837" spans="1:5" x14ac:dyDescent="0.2">
      <c r="A2837" s="763" t="s">
        <v>330</v>
      </c>
      <c r="B2837" s="331">
        <f t="shared" si="59"/>
        <v>389645.72000000032</v>
      </c>
      <c r="C2837" s="762">
        <v>129714.72000000032</v>
      </c>
      <c r="D2837" s="764">
        <v>351.20999999999202</v>
      </c>
      <c r="E2837" s="589">
        <v>259579.79</v>
      </c>
    </row>
    <row r="2838" spans="1:5" x14ac:dyDescent="0.2">
      <c r="A2838" s="763" t="s">
        <v>330</v>
      </c>
      <c r="B2838" s="331">
        <f t="shared" si="59"/>
        <v>388645.72000000032</v>
      </c>
      <c r="C2838" s="762">
        <v>128714.72000000032</v>
      </c>
      <c r="D2838" s="764">
        <v>351.20999999999202</v>
      </c>
      <c r="E2838" s="589">
        <v>259579.79</v>
      </c>
    </row>
    <row r="2839" spans="1:5" x14ac:dyDescent="0.2">
      <c r="A2839" s="763" t="s">
        <v>331</v>
      </c>
      <c r="B2839" s="331">
        <f t="shared" si="59"/>
        <v>388427.00000000035</v>
      </c>
      <c r="C2839" s="762">
        <v>128496.29000000033</v>
      </c>
      <c r="D2839" s="764">
        <v>350.919999999992</v>
      </c>
      <c r="E2839" s="589">
        <v>259579.79</v>
      </c>
    </row>
    <row r="2840" spans="1:5" x14ac:dyDescent="0.2">
      <c r="A2840" s="763" t="s">
        <v>331</v>
      </c>
      <c r="B2840" s="331">
        <f t="shared" ref="B2840:B2903" si="60">C2840+D2840+E2840</f>
        <v>382543.17000000033</v>
      </c>
      <c r="C2840" s="762">
        <v>122612.46000000033</v>
      </c>
      <c r="D2840" s="764">
        <v>350.919999999992</v>
      </c>
      <c r="E2840" s="589">
        <v>259579.79</v>
      </c>
    </row>
    <row r="2841" spans="1:5" x14ac:dyDescent="0.2">
      <c r="A2841" s="763" t="s">
        <v>331</v>
      </c>
      <c r="B2841" s="331">
        <f t="shared" si="60"/>
        <v>382515.17000000033</v>
      </c>
      <c r="C2841" s="762">
        <v>122584.46000000033</v>
      </c>
      <c r="D2841" s="764">
        <v>350.919999999992</v>
      </c>
      <c r="E2841" s="589">
        <v>259579.79</v>
      </c>
    </row>
    <row r="2842" spans="1:5" x14ac:dyDescent="0.2">
      <c r="A2842" s="763" t="s">
        <v>331</v>
      </c>
      <c r="B2842" s="331">
        <f t="shared" si="60"/>
        <v>382123.25000000035</v>
      </c>
      <c r="C2842" s="762">
        <v>122192.54000000033</v>
      </c>
      <c r="D2842" s="764">
        <v>350.919999999992</v>
      </c>
      <c r="E2842" s="589">
        <v>259579.79</v>
      </c>
    </row>
    <row r="2843" spans="1:5" x14ac:dyDescent="0.2">
      <c r="A2843" s="763" t="s">
        <v>331</v>
      </c>
      <c r="B2843" s="331">
        <f t="shared" si="60"/>
        <v>380563.72000000032</v>
      </c>
      <c r="C2843" s="762">
        <v>120633.01000000033</v>
      </c>
      <c r="D2843" s="764">
        <v>350.919999999992</v>
      </c>
      <c r="E2843" s="589">
        <v>259579.79</v>
      </c>
    </row>
    <row r="2844" spans="1:5" x14ac:dyDescent="0.2">
      <c r="A2844" s="763" t="s">
        <v>332</v>
      </c>
      <c r="B2844" s="331">
        <f t="shared" si="60"/>
        <v>380224.05000000034</v>
      </c>
      <c r="C2844" s="762">
        <v>120293.05000000032</v>
      </c>
      <c r="D2844" s="764">
        <v>351.20999999999202</v>
      </c>
      <c r="E2844" s="589">
        <v>259579.79</v>
      </c>
    </row>
    <row r="2845" spans="1:5" x14ac:dyDescent="0.2">
      <c r="A2845" s="763" t="s">
        <v>333</v>
      </c>
      <c r="B2845" s="331">
        <f t="shared" si="60"/>
        <v>380459.22000000032</v>
      </c>
      <c r="C2845" s="762">
        <v>120528.05000000032</v>
      </c>
      <c r="D2845" s="764">
        <v>351.37999999999204</v>
      </c>
      <c r="E2845" s="589">
        <v>259579.79</v>
      </c>
    </row>
    <row r="2846" spans="1:5" x14ac:dyDescent="0.2">
      <c r="A2846" s="763" t="s">
        <v>333</v>
      </c>
      <c r="B2846" s="331">
        <f t="shared" si="60"/>
        <v>380959.02000000031</v>
      </c>
      <c r="C2846" s="762">
        <v>121028.05000000032</v>
      </c>
      <c r="D2846" s="764">
        <v>351.17999999999205</v>
      </c>
      <c r="E2846" s="589">
        <v>259579.79</v>
      </c>
    </row>
    <row r="2847" spans="1:5" x14ac:dyDescent="0.2">
      <c r="A2847" s="763" t="s">
        <v>333</v>
      </c>
      <c r="B2847" s="331">
        <f t="shared" si="60"/>
        <v>381352.05000000034</v>
      </c>
      <c r="C2847" s="762">
        <v>121421.05000000032</v>
      </c>
      <c r="D2847" s="764">
        <v>351.20999999999202</v>
      </c>
      <c r="E2847" s="589">
        <v>259579.79</v>
      </c>
    </row>
    <row r="2848" spans="1:5" x14ac:dyDescent="0.2">
      <c r="A2848" s="763" t="s">
        <v>333</v>
      </c>
      <c r="B2848" s="331">
        <f t="shared" si="60"/>
        <v>443849.27000000031</v>
      </c>
      <c r="C2848" s="762">
        <v>183918.27000000031</v>
      </c>
      <c r="D2848" s="764">
        <v>351.20999999999202</v>
      </c>
      <c r="E2848" s="589">
        <v>259579.79</v>
      </c>
    </row>
    <row r="2849" spans="1:5" x14ac:dyDescent="0.2">
      <c r="A2849" s="763" t="s">
        <v>334</v>
      </c>
      <c r="B2849" s="331">
        <f t="shared" si="60"/>
        <v>443127.5700000003</v>
      </c>
      <c r="C2849" s="762">
        <v>183196.5700000003</v>
      </c>
      <c r="D2849" s="764">
        <v>351.20999999999202</v>
      </c>
      <c r="E2849" s="589">
        <v>259579.79</v>
      </c>
    </row>
    <row r="2850" spans="1:5" x14ac:dyDescent="0.2">
      <c r="A2850" s="763" t="s">
        <v>334</v>
      </c>
      <c r="B2850" s="331">
        <f t="shared" si="60"/>
        <v>443006.47000000032</v>
      </c>
      <c r="C2850" s="762">
        <v>183075.47000000029</v>
      </c>
      <c r="D2850" s="764">
        <v>351.20999999999202</v>
      </c>
      <c r="E2850" s="589">
        <v>259579.79</v>
      </c>
    </row>
    <row r="2851" spans="1:5" x14ac:dyDescent="0.2">
      <c r="A2851" s="763" t="s">
        <v>334</v>
      </c>
      <c r="B2851" s="331">
        <f t="shared" si="60"/>
        <v>442977.37000000029</v>
      </c>
      <c r="C2851" s="762">
        <v>183046.37000000029</v>
      </c>
      <c r="D2851" s="764">
        <v>351.20999999999202</v>
      </c>
      <c r="E2851" s="589">
        <v>259579.79</v>
      </c>
    </row>
    <row r="2852" spans="1:5" x14ac:dyDescent="0.2">
      <c r="A2852" s="763" t="s">
        <v>334</v>
      </c>
      <c r="B2852" s="331">
        <f t="shared" si="60"/>
        <v>465704.92000000027</v>
      </c>
      <c r="C2852" s="762">
        <v>205773.92000000027</v>
      </c>
      <c r="D2852" s="764">
        <v>351.20999999999202</v>
      </c>
      <c r="E2852" s="589">
        <v>259579.79</v>
      </c>
    </row>
    <row r="2853" spans="1:5" x14ac:dyDescent="0.2">
      <c r="A2853" s="763" t="s">
        <v>335</v>
      </c>
      <c r="B2853" s="331">
        <f t="shared" si="60"/>
        <v>466373.90000000026</v>
      </c>
      <c r="C2853" s="762">
        <v>205738.92000000027</v>
      </c>
      <c r="D2853" s="764">
        <v>351.20999999999202</v>
      </c>
      <c r="E2853" s="589">
        <v>260283.77</v>
      </c>
    </row>
    <row r="2854" spans="1:5" x14ac:dyDescent="0.2">
      <c r="A2854" s="763" t="s">
        <v>335</v>
      </c>
      <c r="B2854" s="331">
        <f t="shared" si="60"/>
        <v>458977.69000000029</v>
      </c>
      <c r="C2854" s="762">
        <v>198342.71000000028</v>
      </c>
      <c r="D2854" s="764">
        <v>351.20999999999202</v>
      </c>
      <c r="E2854" s="589">
        <v>260283.77</v>
      </c>
    </row>
    <row r="2855" spans="1:5" x14ac:dyDescent="0.2">
      <c r="A2855" s="763" t="s">
        <v>336</v>
      </c>
      <c r="B2855" s="331">
        <f t="shared" si="60"/>
        <v>418747.59000000026</v>
      </c>
      <c r="C2855" s="762">
        <v>158112.61000000028</v>
      </c>
      <c r="D2855" s="764">
        <v>351.20999999999202</v>
      </c>
      <c r="E2855" s="589">
        <v>260283.77</v>
      </c>
    </row>
    <row r="2856" spans="1:5" x14ac:dyDescent="0.2">
      <c r="A2856" s="763" t="s">
        <v>337</v>
      </c>
      <c r="B2856" s="331">
        <f t="shared" si="60"/>
        <v>418697.19000000029</v>
      </c>
      <c r="C2856" s="762">
        <v>158062.21000000028</v>
      </c>
      <c r="D2856" s="764">
        <v>351.20999999999202</v>
      </c>
      <c r="E2856" s="589">
        <v>260283.77</v>
      </c>
    </row>
    <row r="2857" spans="1:5" x14ac:dyDescent="0.2">
      <c r="A2857" s="763" t="s">
        <v>337</v>
      </c>
      <c r="B2857" s="331">
        <f t="shared" si="60"/>
        <v>418655.19000000029</v>
      </c>
      <c r="C2857" s="762">
        <v>158020.21000000028</v>
      </c>
      <c r="D2857" s="764">
        <v>351.20999999999202</v>
      </c>
      <c r="E2857" s="589">
        <v>260283.77</v>
      </c>
    </row>
    <row r="2858" spans="1:5" x14ac:dyDescent="0.2">
      <c r="A2858" s="763" t="s">
        <v>337</v>
      </c>
      <c r="B2858" s="331">
        <f t="shared" si="60"/>
        <v>418505.19000000029</v>
      </c>
      <c r="C2858" s="762">
        <v>157870.21000000028</v>
      </c>
      <c r="D2858" s="764">
        <v>351.20999999999202</v>
      </c>
      <c r="E2858" s="589">
        <v>260283.77</v>
      </c>
    </row>
    <row r="2859" spans="1:5" x14ac:dyDescent="0.2">
      <c r="A2859" s="763" t="s">
        <v>337</v>
      </c>
      <c r="B2859" s="331">
        <f t="shared" si="60"/>
        <v>418286.76000000024</v>
      </c>
      <c r="C2859" s="762">
        <v>157651.78000000029</v>
      </c>
      <c r="D2859" s="764">
        <v>351.20999999999202</v>
      </c>
      <c r="E2859" s="589">
        <v>260283.77</v>
      </c>
    </row>
    <row r="2860" spans="1:5" x14ac:dyDescent="0.2">
      <c r="A2860" s="763" t="s">
        <v>337</v>
      </c>
      <c r="B2860" s="331">
        <f t="shared" si="60"/>
        <v>418263.66000000027</v>
      </c>
      <c r="C2860" s="762">
        <v>157628.68000000028</v>
      </c>
      <c r="D2860" s="764">
        <v>351.20999999999202</v>
      </c>
      <c r="E2860" s="589">
        <v>260283.77</v>
      </c>
    </row>
    <row r="2861" spans="1:5" x14ac:dyDescent="0.2">
      <c r="A2861" s="763" t="s">
        <v>337</v>
      </c>
      <c r="B2861" s="331">
        <f t="shared" si="60"/>
        <v>415744.86000000028</v>
      </c>
      <c r="C2861" s="762">
        <v>155109.8800000003</v>
      </c>
      <c r="D2861" s="764">
        <v>351.20999999999202</v>
      </c>
      <c r="E2861" s="589">
        <v>260283.77</v>
      </c>
    </row>
    <row r="2862" spans="1:5" x14ac:dyDescent="0.2">
      <c r="A2862" s="763" t="s">
        <v>337</v>
      </c>
      <c r="B2862" s="331">
        <f t="shared" si="60"/>
        <v>415548.24000000028</v>
      </c>
      <c r="C2862" s="762">
        <v>154913.2600000003</v>
      </c>
      <c r="D2862" s="764">
        <v>351.20999999999202</v>
      </c>
      <c r="E2862" s="589">
        <v>260283.77</v>
      </c>
    </row>
    <row r="2863" spans="1:5" x14ac:dyDescent="0.2">
      <c r="A2863" s="763" t="s">
        <v>337</v>
      </c>
      <c r="B2863" s="331">
        <f t="shared" si="60"/>
        <v>415494.72000000032</v>
      </c>
      <c r="C2863" s="762">
        <v>154859.74000000031</v>
      </c>
      <c r="D2863" s="764">
        <v>351.20999999999202</v>
      </c>
      <c r="E2863" s="589">
        <v>260283.77</v>
      </c>
    </row>
    <row r="2864" spans="1:5" x14ac:dyDescent="0.2">
      <c r="A2864" s="763" t="s">
        <v>337</v>
      </c>
      <c r="B2864" s="331">
        <f t="shared" si="60"/>
        <v>415404.72000000032</v>
      </c>
      <c r="C2864" s="762">
        <v>154769.74000000031</v>
      </c>
      <c r="D2864" s="764">
        <v>351.20999999999202</v>
      </c>
      <c r="E2864" s="589">
        <v>260283.77</v>
      </c>
    </row>
    <row r="2865" spans="1:5" x14ac:dyDescent="0.2">
      <c r="A2865" s="763" t="s">
        <v>337</v>
      </c>
      <c r="B2865" s="331">
        <f t="shared" si="60"/>
        <v>414809.72000000032</v>
      </c>
      <c r="C2865" s="762">
        <v>154174.74000000031</v>
      </c>
      <c r="D2865" s="764">
        <v>351.20999999999202</v>
      </c>
      <c r="E2865" s="589">
        <v>260283.77</v>
      </c>
    </row>
    <row r="2866" spans="1:5" x14ac:dyDescent="0.2">
      <c r="A2866" s="763" t="s">
        <v>337</v>
      </c>
      <c r="B2866" s="331">
        <f t="shared" si="60"/>
        <v>414742.72000000032</v>
      </c>
      <c r="C2866" s="762">
        <v>154107.74000000031</v>
      </c>
      <c r="D2866" s="764">
        <v>351.20999999999202</v>
      </c>
      <c r="E2866" s="589">
        <v>260283.77</v>
      </c>
    </row>
    <row r="2867" spans="1:5" x14ac:dyDescent="0.2">
      <c r="A2867" s="763" t="s">
        <v>337</v>
      </c>
      <c r="B2867" s="331">
        <f t="shared" si="60"/>
        <v>414599.92000000027</v>
      </c>
      <c r="C2867" s="762">
        <v>153964.94000000032</v>
      </c>
      <c r="D2867" s="764">
        <v>351.20999999999202</v>
      </c>
      <c r="E2867" s="589">
        <v>260283.77</v>
      </c>
    </row>
    <row r="2868" spans="1:5" x14ac:dyDescent="0.2">
      <c r="A2868" s="763" t="s">
        <v>337</v>
      </c>
      <c r="B2868" s="331">
        <f t="shared" si="60"/>
        <v>414393.3200000003</v>
      </c>
      <c r="C2868" s="762">
        <v>153758.34000000032</v>
      </c>
      <c r="D2868" s="764">
        <v>351.20999999999202</v>
      </c>
      <c r="E2868" s="589">
        <v>260283.77</v>
      </c>
    </row>
    <row r="2869" spans="1:5" x14ac:dyDescent="0.2">
      <c r="A2869" s="763" t="s">
        <v>337</v>
      </c>
      <c r="B2869" s="331">
        <f t="shared" si="60"/>
        <v>414284.12000000029</v>
      </c>
      <c r="C2869" s="762">
        <v>153649.14000000031</v>
      </c>
      <c r="D2869" s="764">
        <v>351.20999999999202</v>
      </c>
      <c r="E2869" s="589">
        <v>260283.77</v>
      </c>
    </row>
    <row r="2870" spans="1:5" x14ac:dyDescent="0.2">
      <c r="A2870" s="763" t="s">
        <v>337</v>
      </c>
      <c r="B2870" s="331">
        <f t="shared" si="60"/>
        <v>413670.5100000003</v>
      </c>
      <c r="C2870" s="762">
        <v>153035.53000000032</v>
      </c>
      <c r="D2870" s="764">
        <v>351.20999999999202</v>
      </c>
      <c r="E2870" s="589">
        <v>260283.77</v>
      </c>
    </row>
    <row r="2871" spans="1:5" x14ac:dyDescent="0.2">
      <c r="A2871" s="763" t="s">
        <v>337</v>
      </c>
      <c r="B2871" s="331">
        <f t="shared" si="60"/>
        <v>413564.87000000029</v>
      </c>
      <c r="C2871" s="762">
        <v>152929.89000000031</v>
      </c>
      <c r="D2871" s="764">
        <v>351.20999999999202</v>
      </c>
      <c r="E2871" s="589">
        <v>260283.77</v>
      </c>
    </row>
    <row r="2872" spans="1:5" x14ac:dyDescent="0.2">
      <c r="A2872" s="763" t="s">
        <v>337</v>
      </c>
      <c r="B2872" s="331">
        <f t="shared" si="60"/>
        <v>413544.87000000029</v>
      </c>
      <c r="C2872" s="762">
        <v>152909.89000000031</v>
      </c>
      <c r="D2872" s="764">
        <v>351.20999999999202</v>
      </c>
      <c r="E2872" s="589">
        <v>260283.77</v>
      </c>
    </row>
    <row r="2873" spans="1:5" x14ac:dyDescent="0.2">
      <c r="A2873" s="763" t="s">
        <v>338</v>
      </c>
      <c r="B2873" s="331">
        <f t="shared" si="60"/>
        <v>413204.91000000027</v>
      </c>
      <c r="C2873" s="762">
        <v>152569.93000000031</v>
      </c>
      <c r="D2873" s="764">
        <v>351.20999999999202</v>
      </c>
      <c r="E2873" s="589">
        <v>260283.77</v>
      </c>
    </row>
    <row r="2874" spans="1:5" x14ac:dyDescent="0.2">
      <c r="A2874" s="763" t="s">
        <v>338</v>
      </c>
      <c r="B2874" s="331">
        <f t="shared" si="60"/>
        <v>413170.41000000027</v>
      </c>
      <c r="C2874" s="762">
        <v>152535.43000000031</v>
      </c>
      <c r="D2874" s="764">
        <v>351.20999999999202</v>
      </c>
      <c r="E2874" s="589">
        <v>260283.77</v>
      </c>
    </row>
    <row r="2875" spans="1:5" x14ac:dyDescent="0.2">
      <c r="A2875" s="763" t="s">
        <v>339</v>
      </c>
      <c r="B2875" s="331">
        <f t="shared" si="60"/>
        <v>412570.41000000027</v>
      </c>
      <c r="C2875" s="762">
        <v>151935.43000000031</v>
      </c>
      <c r="D2875" s="764">
        <v>351.20999999999202</v>
      </c>
      <c r="E2875" s="589">
        <v>260283.77</v>
      </c>
    </row>
    <row r="2876" spans="1:5" x14ac:dyDescent="0.2">
      <c r="A2876" s="763" t="s">
        <v>340</v>
      </c>
      <c r="B2876" s="331">
        <f t="shared" si="60"/>
        <v>412402.41000000027</v>
      </c>
      <c r="C2876" s="762">
        <v>151767.43000000031</v>
      </c>
      <c r="D2876" s="764">
        <v>351.20999999999202</v>
      </c>
      <c r="E2876" s="589">
        <v>260283.77</v>
      </c>
    </row>
    <row r="2877" spans="1:5" x14ac:dyDescent="0.2">
      <c r="A2877" s="763" t="s">
        <v>340</v>
      </c>
      <c r="B2877" s="331">
        <f t="shared" si="60"/>
        <v>412362.16000000027</v>
      </c>
      <c r="C2877" s="762">
        <v>151727.18000000031</v>
      </c>
      <c r="D2877" s="764">
        <v>351.20999999999202</v>
      </c>
      <c r="E2877" s="589">
        <v>260283.77</v>
      </c>
    </row>
    <row r="2878" spans="1:5" x14ac:dyDescent="0.2">
      <c r="A2878" s="763" t="s">
        <v>340</v>
      </c>
      <c r="B2878" s="331">
        <f t="shared" si="60"/>
        <v>411848.36000000034</v>
      </c>
      <c r="C2878" s="762">
        <v>151213.38000000032</v>
      </c>
      <c r="D2878" s="764">
        <v>351.20999999999202</v>
      </c>
      <c r="E2878" s="589">
        <v>260283.77</v>
      </c>
    </row>
    <row r="2879" spans="1:5" x14ac:dyDescent="0.2">
      <c r="A2879" s="763" t="s">
        <v>340</v>
      </c>
      <c r="B2879" s="331">
        <f t="shared" si="60"/>
        <v>414326.85000000033</v>
      </c>
      <c r="C2879" s="762">
        <v>151082.08000000034</v>
      </c>
      <c r="D2879" s="764">
        <v>2961</v>
      </c>
      <c r="E2879" s="589">
        <v>260283.77</v>
      </c>
    </row>
    <row r="2880" spans="1:5" x14ac:dyDescent="0.2">
      <c r="A2880" s="763" t="s">
        <v>341</v>
      </c>
      <c r="B2880" s="331">
        <f t="shared" si="60"/>
        <v>414341.83000000031</v>
      </c>
      <c r="C2880" s="762">
        <v>151097.06000000035</v>
      </c>
      <c r="D2880" s="764">
        <v>2961</v>
      </c>
      <c r="E2880" s="589">
        <v>260283.77</v>
      </c>
    </row>
    <row r="2881" spans="1:5" x14ac:dyDescent="0.2">
      <c r="A2881" s="763" t="s">
        <v>342</v>
      </c>
      <c r="B2881" s="331">
        <f t="shared" si="60"/>
        <v>376178.67000000033</v>
      </c>
      <c r="C2881" s="762">
        <v>112933.90000000034</v>
      </c>
      <c r="D2881" s="764">
        <v>2961</v>
      </c>
      <c r="E2881" s="589">
        <v>260283.77</v>
      </c>
    </row>
    <row r="2882" spans="1:5" x14ac:dyDescent="0.2">
      <c r="A2882" s="763" t="s">
        <v>343</v>
      </c>
      <c r="B2882" s="331">
        <f t="shared" si="60"/>
        <v>375956.28000000032</v>
      </c>
      <c r="C2882" s="762">
        <v>112711.51000000034</v>
      </c>
      <c r="D2882" s="764">
        <v>2961</v>
      </c>
      <c r="E2882" s="589">
        <v>260283.77</v>
      </c>
    </row>
    <row r="2883" spans="1:5" x14ac:dyDescent="0.2">
      <c r="A2883" s="763" t="s">
        <v>343</v>
      </c>
      <c r="B2883" s="331">
        <f t="shared" si="60"/>
        <v>375700.18000000034</v>
      </c>
      <c r="C2883" s="762">
        <v>112455.41000000034</v>
      </c>
      <c r="D2883" s="764">
        <v>2961</v>
      </c>
      <c r="E2883" s="589">
        <v>260283.77</v>
      </c>
    </row>
    <row r="2884" spans="1:5" x14ac:dyDescent="0.2">
      <c r="A2884" s="763" t="s">
        <v>343</v>
      </c>
      <c r="B2884" s="331">
        <f t="shared" si="60"/>
        <v>375481.75000000035</v>
      </c>
      <c r="C2884" s="762">
        <v>112236.98000000035</v>
      </c>
      <c r="D2884" s="764">
        <v>2961</v>
      </c>
      <c r="E2884" s="589">
        <v>260283.77</v>
      </c>
    </row>
    <row r="2885" spans="1:5" x14ac:dyDescent="0.2">
      <c r="A2885" s="763" t="s">
        <v>343</v>
      </c>
      <c r="B2885" s="331">
        <f t="shared" si="60"/>
        <v>375001.56000000035</v>
      </c>
      <c r="C2885" s="762">
        <v>111756.79000000034</v>
      </c>
      <c r="D2885" s="764">
        <v>2961</v>
      </c>
      <c r="E2885" s="589">
        <v>260283.77</v>
      </c>
    </row>
    <row r="2886" spans="1:5" x14ac:dyDescent="0.2">
      <c r="A2886" s="763" t="s">
        <v>343</v>
      </c>
      <c r="B2886" s="331">
        <f t="shared" si="60"/>
        <v>374876.56000000035</v>
      </c>
      <c r="C2886" s="762">
        <v>111631.79000000034</v>
      </c>
      <c r="D2886" s="764">
        <v>2961</v>
      </c>
      <c r="E2886" s="589">
        <v>260283.77</v>
      </c>
    </row>
    <row r="2887" spans="1:5" x14ac:dyDescent="0.2">
      <c r="A2887" s="763" t="s">
        <v>343</v>
      </c>
      <c r="B2887" s="331">
        <f t="shared" si="60"/>
        <v>374611.09000000032</v>
      </c>
      <c r="C2887" s="762">
        <v>111366.32000000034</v>
      </c>
      <c r="D2887" s="764">
        <v>2961</v>
      </c>
      <c r="E2887" s="589">
        <v>260283.77</v>
      </c>
    </row>
    <row r="2888" spans="1:5" x14ac:dyDescent="0.2">
      <c r="A2888" s="763" t="s">
        <v>343</v>
      </c>
      <c r="B2888" s="331">
        <f t="shared" si="60"/>
        <v>374372.98000000033</v>
      </c>
      <c r="C2888" s="762">
        <v>111128.21000000034</v>
      </c>
      <c r="D2888" s="764">
        <v>2961</v>
      </c>
      <c r="E2888" s="589">
        <v>260283.77</v>
      </c>
    </row>
    <row r="2889" spans="1:5" x14ac:dyDescent="0.2">
      <c r="A2889" s="763" t="s">
        <v>343</v>
      </c>
      <c r="B2889" s="331">
        <f t="shared" si="60"/>
        <v>373294.02000000031</v>
      </c>
      <c r="C2889" s="762">
        <v>110049.25000000033</v>
      </c>
      <c r="D2889" s="764">
        <v>2961</v>
      </c>
      <c r="E2889" s="589">
        <v>260283.77</v>
      </c>
    </row>
    <row r="2890" spans="1:5" x14ac:dyDescent="0.2">
      <c r="A2890" s="763" t="s">
        <v>343</v>
      </c>
      <c r="B2890" s="331">
        <f t="shared" si="60"/>
        <v>373202.92000000033</v>
      </c>
      <c r="C2890" s="762">
        <v>109958.15000000033</v>
      </c>
      <c r="D2890" s="764">
        <v>2961</v>
      </c>
      <c r="E2890" s="589">
        <v>260283.77</v>
      </c>
    </row>
    <row r="2891" spans="1:5" x14ac:dyDescent="0.2">
      <c r="A2891" s="763" t="s">
        <v>343</v>
      </c>
      <c r="B2891" s="331">
        <f t="shared" si="60"/>
        <v>372640.16000000032</v>
      </c>
      <c r="C2891" s="762">
        <v>109395.39000000033</v>
      </c>
      <c r="D2891" s="764">
        <v>2961</v>
      </c>
      <c r="E2891" s="589">
        <v>260283.77</v>
      </c>
    </row>
    <row r="2892" spans="1:5" x14ac:dyDescent="0.2">
      <c r="A2892" s="763" t="s">
        <v>343</v>
      </c>
      <c r="B2892" s="331">
        <f t="shared" si="60"/>
        <v>372959.16000000032</v>
      </c>
      <c r="C2892" s="762">
        <v>109714.39000000033</v>
      </c>
      <c r="D2892" s="764">
        <v>2961</v>
      </c>
      <c r="E2892" s="589">
        <v>260283.77</v>
      </c>
    </row>
    <row r="2893" spans="1:5" x14ac:dyDescent="0.2">
      <c r="A2893" s="763" t="s">
        <v>343</v>
      </c>
      <c r="B2893" s="331">
        <f t="shared" si="60"/>
        <v>373319.16000000032</v>
      </c>
      <c r="C2893" s="762">
        <v>110074.39000000033</v>
      </c>
      <c r="D2893" s="764">
        <v>2961</v>
      </c>
      <c r="E2893" s="589">
        <v>260283.77</v>
      </c>
    </row>
    <row r="2894" spans="1:5" x14ac:dyDescent="0.2">
      <c r="A2894" s="763" t="s">
        <v>343</v>
      </c>
      <c r="B2894" s="331">
        <f t="shared" si="60"/>
        <v>373344.16000000032</v>
      </c>
      <c r="C2894" s="762">
        <v>110099.39000000033</v>
      </c>
      <c r="D2894" s="764">
        <v>2961</v>
      </c>
      <c r="E2894" s="589">
        <v>260283.77</v>
      </c>
    </row>
    <row r="2895" spans="1:5" x14ac:dyDescent="0.2">
      <c r="A2895" s="763" t="s">
        <v>343</v>
      </c>
      <c r="B2895" s="331">
        <f t="shared" si="60"/>
        <v>373678.16000000032</v>
      </c>
      <c r="C2895" s="762">
        <v>110433.39000000033</v>
      </c>
      <c r="D2895" s="764">
        <v>2961</v>
      </c>
      <c r="E2895" s="589">
        <v>260283.77</v>
      </c>
    </row>
    <row r="2896" spans="1:5" x14ac:dyDescent="0.2">
      <c r="A2896" s="763" t="s">
        <v>343</v>
      </c>
      <c r="B2896" s="331">
        <f t="shared" si="60"/>
        <v>373961.16000000032</v>
      </c>
      <c r="C2896" s="762">
        <v>110716.39000000033</v>
      </c>
      <c r="D2896" s="764">
        <v>2961</v>
      </c>
      <c r="E2896" s="589">
        <v>260283.77</v>
      </c>
    </row>
    <row r="2897" spans="1:5" x14ac:dyDescent="0.2">
      <c r="A2897" s="763" t="s">
        <v>343</v>
      </c>
      <c r="B2897" s="331">
        <f t="shared" si="60"/>
        <v>381984.22000000032</v>
      </c>
      <c r="C2897" s="762">
        <v>118739.45000000033</v>
      </c>
      <c r="D2897" s="764">
        <v>2961</v>
      </c>
      <c r="E2897" s="589">
        <v>260283.77</v>
      </c>
    </row>
    <row r="2898" spans="1:5" x14ac:dyDescent="0.2">
      <c r="A2898" s="763" t="s">
        <v>344</v>
      </c>
      <c r="B2898" s="331">
        <f t="shared" si="60"/>
        <v>379066.33000000031</v>
      </c>
      <c r="C2898" s="762">
        <v>115821.56000000033</v>
      </c>
      <c r="D2898" s="764">
        <v>2961</v>
      </c>
      <c r="E2898" s="589">
        <v>260283.77</v>
      </c>
    </row>
    <row r="2899" spans="1:5" x14ac:dyDescent="0.2">
      <c r="A2899" s="763" t="s">
        <v>345</v>
      </c>
      <c r="B2899" s="331">
        <f t="shared" si="60"/>
        <v>378726.37000000034</v>
      </c>
      <c r="C2899" s="762">
        <v>115481.60000000033</v>
      </c>
      <c r="D2899" s="764">
        <v>2961</v>
      </c>
      <c r="E2899" s="589">
        <v>260283.77</v>
      </c>
    </row>
    <row r="2900" spans="1:5" x14ac:dyDescent="0.2">
      <c r="A2900" s="763" t="s">
        <v>346</v>
      </c>
      <c r="B2900" s="331">
        <f t="shared" si="60"/>
        <v>428726.37000000034</v>
      </c>
      <c r="C2900" s="762">
        <v>165481.60000000033</v>
      </c>
      <c r="D2900" s="764">
        <v>2961</v>
      </c>
      <c r="E2900" s="589">
        <v>260283.77</v>
      </c>
    </row>
    <row r="2901" spans="1:5" x14ac:dyDescent="0.2">
      <c r="A2901" s="763" t="s">
        <v>347</v>
      </c>
      <c r="B2901" s="331">
        <f t="shared" si="60"/>
        <v>428161.37000000034</v>
      </c>
      <c r="C2901" s="762">
        <v>164916.60000000033</v>
      </c>
      <c r="D2901" s="764">
        <v>2961</v>
      </c>
      <c r="E2901" s="589">
        <v>260283.77</v>
      </c>
    </row>
    <row r="2902" spans="1:5" x14ac:dyDescent="0.2">
      <c r="A2902" s="763" t="s">
        <v>347</v>
      </c>
      <c r="B2902" s="331">
        <f t="shared" si="60"/>
        <v>428132.27000000031</v>
      </c>
      <c r="C2902" s="762">
        <v>164887.50000000032</v>
      </c>
      <c r="D2902" s="764">
        <v>2961</v>
      </c>
      <c r="E2902" s="589">
        <v>260283.77</v>
      </c>
    </row>
    <row r="2903" spans="1:5" x14ac:dyDescent="0.2">
      <c r="A2903" s="763" t="s">
        <v>348</v>
      </c>
      <c r="B2903" s="331">
        <f t="shared" si="60"/>
        <v>424162.47000000032</v>
      </c>
      <c r="C2903" s="762">
        <v>160917.70000000033</v>
      </c>
      <c r="D2903" s="764">
        <v>2961</v>
      </c>
      <c r="E2903" s="589">
        <v>260283.77</v>
      </c>
    </row>
    <row r="2904" spans="1:5" x14ac:dyDescent="0.2">
      <c r="A2904" s="763" t="s">
        <v>348</v>
      </c>
      <c r="B2904" s="331">
        <f t="shared" ref="B2904:B2967" si="61">C2904+D2904+E2904</f>
        <v>428132.27000000031</v>
      </c>
      <c r="C2904" s="762">
        <v>164887.50000000032</v>
      </c>
      <c r="D2904" s="764">
        <v>2961</v>
      </c>
      <c r="E2904" s="589">
        <v>260283.77</v>
      </c>
    </row>
    <row r="2905" spans="1:5" x14ac:dyDescent="0.2">
      <c r="A2905" s="763" t="s">
        <v>348</v>
      </c>
      <c r="B2905" s="331">
        <f t="shared" si="61"/>
        <v>445005.16000000027</v>
      </c>
      <c r="C2905" s="762">
        <v>181760.39000000031</v>
      </c>
      <c r="D2905" s="764">
        <v>2961</v>
      </c>
      <c r="E2905" s="589">
        <v>260283.77</v>
      </c>
    </row>
    <row r="2906" spans="1:5" x14ac:dyDescent="0.2">
      <c r="A2906" s="763" t="s">
        <v>348</v>
      </c>
      <c r="B2906" s="331">
        <f t="shared" si="61"/>
        <v>445030.11000000034</v>
      </c>
      <c r="C2906" s="762">
        <v>181785.34000000032</v>
      </c>
      <c r="D2906" s="764">
        <v>2961</v>
      </c>
      <c r="E2906" s="589">
        <v>260283.77</v>
      </c>
    </row>
    <row r="2907" spans="1:5" x14ac:dyDescent="0.2">
      <c r="A2907" s="763" t="s">
        <v>349</v>
      </c>
      <c r="B2907" s="331">
        <f t="shared" si="61"/>
        <v>442965.4500000003</v>
      </c>
      <c r="C2907" s="762">
        <v>179720.68000000031</v>
      </c>
      <c r="D2907" s="764">
        <v>2961</v>
      </c>
      <c r="E2907" s="589">
        <v>260283.77</v>
      </c>
    </row>
    <row r="2908" spans="1:5" x14ac:dyDescent="0.2">
      <c r="A2908" s="763" t="s">
        <v>349</v>
      </c>
      <c r="B2908" s="331">
        <f t="shared" si="61"/>
        <v>442824.86000000034</v>
      </c>
      <c r="C2908" s="762">
        <v>179580.09000000032</v>
      </c>
      <c r="D2908" s="764">
        <v>2961</v>
      </c>
      <c r="E2908" s="589">
        <v>260283.77</v>
      </c>
    </row>
    <row r="2909" spans="1:5" x14ac:dyDescent="0.2">
      <c r="A2909" s="763" t="s">
        <v>349</v>
      </c>
      <c r="B2909" s="331">
        <f t="shared" si="61"/>
        <v>442065.31000000029</v>
      </c>
      <c r="C2909" s="762">
        <v>178820.54000000033</v>
      </c>
      <c r="D2909" s="764">
        <v>2961</v>
      </c>
      <c r="E2909" s="589">
        <v>260283.77</v>
      </c>
    </row>
    <row r="2910" spans="1:5" x14ac:dyDescent="0.2">
      <c r="A2910" s="763" t="s">
        <v>349</v>
      </c>
      <c r="B2910" s="331">
        <f t="shared" si="61"/>
        <v>442058.56000000029</v>
      </c>
      <c r="C2910" s="762">
        <v>178813.79000000033</v>
      </c>
      <c r="D2910" s="764">
        <v>2961</v>
      </c>
      <c r="E2910" s="589">
        <v>260283.77</v>
      </c>
    </row>
    <row r="2911" spans="1:5" x14ac:dyDescent="0.2">
      <c r="A2911" s="763" t="s">
        <v>349</v>
      </c>
      <c r="B2911" s="331">
        <f t="shared" si="61"/>
        <v>442024.96000000031</v>
      </c>
      <c r="C2911" s="762">
        <v>178780.19000000032</v>
      </c>
      <c r="D2911" s="764">
        <v>2961</v>
      </c>
      <c r="E2911" s="589">
        <v>260283.77</v>
      </c>
    </row>
    <row r="2912" spans="1:5" x14ac:dyDescent="0.2">
      <c r="A2912" s="763" t="s">
        <v>349</v>
      </c>
      <c r="B2912" s="331">
        <f t="shared" si="61"/>
        <v>441761.96000000031</v>
      </c>
      <c r="C2912" s="762">
        <v>178517.19000000032</v>
      </c>
      <c r="D2912" s="764">
        <v>2961</v>
      </c>
      <c r="E2912" s="589">
        <v>260283.77</v>
      </c>
    </row>
    <row r="2913" spans="1:8" x14ac:dyDescent="0.2">
      <c r="A2913" s="763" t="s">
        <v>349</v>
      </c>
      <c r="B2913" s="331">
        <f t="shared" si="61"/>
        <v>441732.7600000003</v>
      </c>
      <c r="C2913" s="762">
        <v>178487.99000000031</v>
      </c>
      <c r="D2913" s="764">
        <v>2961</v>
      </c>
      <c r="E2913" s="589">
        <v>260283.77</v>
      </c>
    </row>
    <row r="2914" spans="1:8" x14ac:dyDescent="0.2">
      <c r="A2914" s="763" t="s">
        <v>349</v>
      </c>
      <c r="B2914" s="331">
        <f t="shared" si="61"/>
        <v>441725.7600000003</v>
      </c>
      <c r="C2914" s="762">
        <v>178480.99000000031</v>
      </c>
      <c r="D2914" s="764">
        <v>2961</v>
      </c>
      <c r="E2914" s="589">
        <v>260283.77</v>
      </c>
    </row>
    <row r="2915" spans="1:8" x14ac:dyDescent="0.2">
      <c r="A2915" s="763" t="s">
        <v>349</v>
      </c>
      <c r="B2915" s="331">
        <f t="shared" si="61"/>
        <v>441333.84000000032</v>
      </c>
      <c r="C2915" s="762">
        <v>178089.0700000003</v>
      </c>
      <c r="D2915" s="764">
        <v>2961</v>
      </c>
      <c r="E2915" s="589">
        <v>260283.77</v>
      </c>
    </row>
    <row r="2916" spans="1:8" x14ac:dyDescent="0.2">
      <c r="A2916" s="763" t="s">
        <v>349</v>
      </c>
      <c r="B2916" s="331">
        <f t="shared" si="61"/>
        <v>431333.84000000032</v>
      </c>
      <c r="C2916" s="762">
        <v>168089.0700000003</v>
      </c>
      <c r="D2916" s="764">
        <v>2961</v>
      </c>
      <c r="E2916" s="589">
        <v>260283.77</v>
      </c>
    </row>
    <row r="2917" spans="1:8" x14ac:dyDescent="0.2">
      <c r="A2917" s="763" t="s">
        <v>349</v>
      </c>
      <c r="B2917" s="331">
        <f t="shared" si="61"/>
        <v>431280.3200000003</v>
      </c>
      <c r="C2917" s="762">
        <v>168035.55000000031</v>
      </c>
      <c r="D2917" s="764">
        <v>2961</v>
      </c>
      <c r="E2917" s="589">
        <v>260283.77</v>
      </c>
    </row>
    <row r="2918" spans="1:8" x14ac:dyDescent="0.2">
      <c r="A2918" s="763" t="s">
        <v>349</v>
      </c>
      <c r="B2918" s="331">
        <f t="shared" si="61"/>
        <v>430758.68000000028</v>
      </c>
      <c r="C2918" s="762">
        <v>167513.91000000029</v>
      </c>
      <c r="D2918" s="764">
        <v>2961</v>
      </c>
      <c r="E2918" s="589">
        <v>260283.77</v>
      </c>
    </row>
    <row r="2919" spans="1:8" x14ac:dyDescent="0.2">
      <c r="A2919" s="763" t="s">
        <v>349</v>
      </c>
      <c r="B2919" s="331">
        <f t="shared" si="61"/>
        <v>430178.49000000028</v>
      </c>
      <c r="C2919" s="762">
        <v>166933.72000000029</v>
      </c>
      <c r="D2919" s="764">
        <v>2961</v>
      </c>
      <c r="E2919" s="589">
        <v>260283.77</v>
      </c>
    </row>
    <row r="2920" spans="1:8" x14ac:dyDescent="0.2">
      <c r="A2920" s="763" t="s">
        <v>349</v>
      </c>
      <c r="B2920" s="331">
        <f t="shared" si="61"/>
        <v>430126.31000000029</v>
      </c>
      <c r="C2920" s="762">
        <v>166881.5400000003</v>
      </c>
      <c r="D2920" s="764">
        <v>2961</v>
      </c>
      <c r="E2920" s="589">
        <v>260283.77</v>
      </c>
    </row>
    <row r="2921" spans="1:8" x14ac:dyDescent="0.2">
      <c r="A2921" s="763" t="s">
        <v>349</v>
      </c>
      <c r="B2921" s="331">
        <f t="shared" si="61"/>
        <v>430226.31000000029</v>
      </c>
      <c r="C2921" s="762">
        <v>166981.5400000003</v>
      </c>
      <c r="D2921" s="764">
        <v>2961</v>
      </c>
      <c r="E2921" s="589">
        <v>260283.77</v>
      </c>
    </row>
    <row r="2922" spans="1:8" x14ac:dyDescent="0.2">
      <c r="A2922" s="763" t="s">
        <v>349</v>
      </c>
      <c r="B2922" s="331">
        <f t="shared" si="61"/>
        <v>430111.03000000026</v>
      </c>
      <c r="C2922" s="762">
        <v>166866.2600000003</v>
      </c>
      <c r="D2922" s="764">
        <v>2961</v>
      </c>
      <c r="E2922" s="589">
        <v>260283.77</v>
      </c>
    </row>
    <row r="2923" spans="1:8" x14ac:dyDescent="0.2">
      <c r="A2923" s="763" t="s">
        <v>349</v>
      </c>
      <c r="B2923" s="331">
        <f t="shared" si="61"/>
        <v>422330.72000000032</v>
      </c>
      <c r="C2923" s="762">
        <v>159085.9500000003</v>
      </c>
      <c r="D2923" s="764">
        <v>2961</v>
      </c>
      <c r="E2923" s="589">
        <v>260283.77</v>
      </c>
    </row>
    <row r="2924" spans="1:8" x14ac:dyDescent="0.2">
      <c r="A2924" s="763" t="s">
        <v>349</v>
      </c>
      <c r="B2924" s="331">
        <f t="shared" si="61"/>
        <v>422253.04000000027</v>
      </c>
      <c r="C2924" s="762">
        <v>159008.27000000031</v>
      </c>
      <c r="D2924" s="764">
        <v>2961</v>
      </c>
      <c r="E2924" s="589">
        <v>260283.77</v>
      </c>
    </row>
    <row r="2925" spans="1:8" x14ac:dyDescent="0.2">
      <c r="A2925" s="763" t="s">
        <v>349</v>
      </c>
      <c r="B2925" s="331">
        <f t="shared" si="61"/>
        <v>423023.04000000027</v>
      </c>
      <c r="C2925" s="762">
        <v>159778.27000000031</v>
      </c>
      <c r="D2925" s="764">
        <v>2961</v>
      </c>
      <c r="E2925" s="589">
        <v>260283.77</v>
      </c>
    </row>
    <row r="2926" spans="1:8" x14ac:dyDescent="0.2">
      <c r="A2926" s="763" t="s">
        <v>349</v>
      </c>
      <c r="B2926" s="331">
        <f t="shared" si="61"/>
        <v>448023.04000000027</v>
      </c>
      <c r="C2926" s="762">
        <v>184778.27000000031</v>
      </c>
      <c r="D2926" s="764">
        <v>2961</v>
      </c>
      <c r="E2926" s="589">
        <v>260283.77</v>
      </c>
    </row>
    <row r="2927" spans="1:8" x14ac:dyDescent="0.2">
      <c r="A2927" s="763" t="s">
        <v>350</v>
      </c>
      <c r="B2927" s="331">
        <f t="shared" si="61"/>
        <v>467958.28000000026</v>
      </c>
      <c r="C2927" s="762">
        <v>204713.5100000003</v>
      </c>
      <c r="D2927" s="764">
        <v>2961</v>
      </c>
      <c r="E2927" s="589">
        <v>260283.77</v>
      </c>
    </row>
    <row r="2928" spans="1:8" x14ac:dyDescent="0.2">
      <c r="A2928" s="763" t="s">
        <v>350</v>
      </c>
      <c r="B2928" s="331">
        <f t="shared" si="61"/>
        <v>464996.94000000029</v>
      </c>
      <c r="C2928" s="762">
        <v>169510.1700000003</v>
      </c>
      <c r="D2928" s="764">
        <v>35203</v>
      </c>
      <c r="E2928" s="589">
        <v>260283.77</v>
      </c>
      <c r="G2928" t="s">
        <v>351</v>
      </c>
      <c r="H2928" s="212">
        <f>AVERAGE(B2523:B2928)</f>
        <v>493958.8347290642</v>
      </c>
    </row>
    <row r="2929" spans="1:5" x14ac:dyDescent="0.2">
      <c r="A2929" s="781">
        <v>45839</v>
      </c>
      <c r="B2929" s="331">
        <f t="shared" si="61"/>
        <v>470389.57999999996</v>
      </c>
      <c r="C2929" s="782">
        <v>170031.81</v>
      </c>
      <c r="D2929" s="764">
        <v>40074</v>
      </c>
      <c r="E2929" s="589">
        <v>260283.77</v>
      </c>
    </row>
    <row r="2930" spans="1:5" x14ac:dyDescent="0.2">
      <c r="A2930" s="781">
        <v>45840</v>
      </c>
      <c r="B2930" s="331">
        <f t="shared" si="61"/>
        <v>466632.07999999996</v>
      </c>
      <c r="C2930" s="782">
        <v>166274.31</v>
      </c>
      <c r="D2930" s="764">
        <v>40074</v>
      </c>
      <c r="E2930" s="589">
        <v>260283.77</v>
      </c>
    </row>
    <row r="2931" spans="1:5" x14ac:dyDescent="0.2">
      <c r="A2931" s="781">
        <v>45840</v>
      </c>
      <c r="B2931" s="331">
        <f t="shared" si="61"/>
        <v>463707.07999999996</v>
      </c>
      <c r="C2931" s="782">
        <v>163349.31</v>
      </c>
      <c r="D2931" s="764">
        <v>40074</v>
      </c>
      <c r="E2931" s="589">
        <v>260283.77</v>
      </c>
    </row>
    <row r="2932" spans="1:5" x14ac:dyDescent="0.2">
      <c r="A2932" s="781">
        <v>45840</v>
      </c>
      <c r="B2932" s="331">
        <f t="shared" si="61"/>
        <v>463706.86</v>
      </c>
      <c r="C2932" s="782">
        <v>163349.09</v>
      </c>
      <c r="D2932" s="764">
        <v>40074</v>
      </c>
      <c r="E2932" s="589">
        <v>260283.77</v>
      </c>
    </row>
    <row r="2933" spans="1:5" x14ac:dyDescent="0.2">
      <c r="A2933" s="781">
        <v>45840</v>
      </c>
      <c r="B2933" s="331">
        <f t="shared" si="61"/>
        <v>463706.93</v>
      </c>
      <c r="C2933" s="782">
        <v>163349.16</v>
      </c>
      <c r="D2933" s="764">
        <v>40074</v>
      </c>
      <c r="E2933" s="589">
        <v>260283.77</v>
      </c>
    </row>
    <row r="2934" spans="1:5" x14ac:dyDescent="0.2">
      <c r="A2934" s="781">
        <v>45840</v>
      </c>
      <c r="B2934" s="331">
        <f t="shared" si="61"/>
        <v>463707.07999999996</v>
      </c>
      <c r="C2934" s="782">
        <v>163349.31</v>
      </c>
      <c r="D2934" s="764">
        <v>40074</v>
      </c>
      <c r="E2934" s="589">
        <v>260283.77</v>
      </c>
    </row>
    <row r="2935" spans="1:5" x14ac:dyDescent="0.2">
      <c r="A2935" s="781">
        <v>45840</v>
      </c>
      <c r="B2935" s="331">
        <f t="shared" si="61"/>
        <v>463672.07999999996</v>
      </c>
      <c r="C2935" s="782">
        <v>163314.31</v>
      </c>
      <c r="D2935" s="764">
        <v>40074</v>
      </c>
      <c r="E2935" s="589">
        <v>260283.77</v>
      </c>
    </row>
    <row r="2936" spans="1:5" x14ac:dyDescent="0.2">
      <c r="A2936" s="781">
        <v>45845</v>
      </c>
      <c r="B2936" s="331">
        <f t="shared" si="61"/>
        <v>424871.57999999996</v>
      </c>
      <c r="C2936" s="782">
        <v>163279.81</v>
      </c>
      <c r="D2936" s="764">
        <v>1308</v>
      </c>
      <c r="E2936" s="589">
        <v>260283.77</v>
      </c>
    </row>
    <row r="2937" spans="1:5" x14ac:dyDescent="0.2">
      <c r="A2937" s="781">
        <v>45846</v>
      </c>
      <c r="B2937" s="331">
        <f t="shared" si="61"/>
        <v>424531.62</v>
      </c>
      <c r="C2937" s="782">
        <v>162939.85</v>
      </c>
      <c r="D2937" s="764">
        <v>1308</v>
      </c>
      <c r="E2937" s="589">
        <v>260283.77</v>
      </c>
    </row>
    <row r="2938" spans="1:5" x14ac:dyDescent="0.2">
      <c r="A2938" s="781">
        <v>45848</v>
      </c>
      <c r="B2938" s="331">
        <f t="shared" si="61"/>
        <v>424907.62</v>
      </c>
      <c r="C2938" s="782">
        <v>163315.85</v>
      </c>
      <c r="D2938" s="764">
        <v>1308</v>
      </c>
      <c r="E2938" s="589">
        <v>260283.77</v>
      </c>
    </row>
    <row r="2939" spans="1:5" x14ac:dyDescent="0.2">
      <c r="A2939" s="781">
        <v>45848</v>
      </c>
      <c r="B2939" s="331">
        <f t="shared" si="61"/>
        <v>424878.92</v>
      </c>
      <c r="C2939" s="782">
        <v>163287.15</v>
      </c>
      <c r="D2939" s="764">
        <v>1308</v>
      </c>
      <c r="E2939" s="589">
        <v>260283.77</v>
      </c>
    </row>
    <row r="2940" spans="1:5" x14ac:dyDescent="0.2">
      <c r="A2940" s="781">
        <v>45848</v>
      </c>
      <c r="B2940" s="331">
        <f t="shared" si="61"/>
        <v>424660.49</v>
      </c>
      <c r="C2940" s="782">
        <v>163068.72</v>
      </c>
      <c r="D2940" s="764">
        <v>1308</v>
      </c>
      <c r="E2940" s="589">
        <v>260283.77</v>
      </c>
    </row>
    <row r="2941" spans="1:5" x14ac:dyDescent="0.2">
      <c r="A2941" s="781">
        <v>45848</v>
      </c>
      <c r="B2941" s="331">
        <f t="shared" si="61"/>
        <v>422595.82999999996</v>
      </c>
      <c r="C2941" s="782">
        <v>161004.06</v>
      </c>
      <c r="D2941" s="764">
        <v>1308</v>
      </c>
      <c r="E2941" s="589">
        <v>260283.77</v>
      </c>
    </row>
    <row r="2942" spans="1:5" x14ac:dyDescent="0.2">
      <c r="A2942" s="781">
        <v>45848</v>
      </c>
      <c r="B2942" s="331">
        <f t="shared" si="61"/>
        <v>421617.74</v>
      </c>
      <c r="C2942" s="782">
        <v>160025.97</v>
      </c>
      <c r="D2942" s="764">
        <v>1308</v>
      </c>
      <c r="E2942" s="589">
        <v>260283.77</v>
      </c>
    </row>
    <row r="2943" spans="1:5" x14ac:dyDescent="0.2">
      <c r="A2943" s="781">
        <v>45848</v>
      </c>
      <c r="B2943" s="331">
        <f t="shared" si="61"/>
        <v>420844.98</v>
      </c>
      <c r="C2943" s="782">
        <v>159253.21</v>
      </c>
      <c r="D2943" s="764">
        <v>1308</v>
      </c>
      <c r="E2943" s="589">
        <v>260283.77</v>
      </c>
    </row>
    <row r="2944" spans="1:5" x14ac:dyDescent="0.2">
      <c r="A2944" s="781">
        <v>45848</v>
      </c>
      <c r="B2944" s="331">
        <f t="shared" si="61"/>
        <v>420581.98</v>
      </c>
      <c r="C2944" s="782">
        <v>158990.21</v>
      </c>
      <c r="D2944" s="764">
        <v>1308</v>
      </c>
      <c r="E2944" s="589">
        <v>260283.77</v>
      </c>
    </row>
    <row r="2945" spans="1:5" x14ac:dyDescent="0.2">
      <c r="A2945" s="781">
        <v>45848</v>
      </c>
      <c r="B2945" s="331">
        <f t="shared" si="61"/>
        <v>420421.98</v>
      </c>
      <c r="C2945" s="782">
        <v>158830.21</v>
      </c>
      <c r="D2945" s="764">
        <v>1308</v>
      </c>
      <c r="E2945" s="589">
        <v>260283.77</v>
      </c>
    </row>
    <row r="2946" spans="1:5" x14ac:dyDescent="0.2">
      <c r="A2946" s="781">
        <v>45848</v>
      </c>
      <c r="B2946" s="331">
        <f t="shared" si="61"/>
        <v>420271.98</v>
      </c>
      <c r="C2946" s="782">
        <v>158680.21</v>
      </c>
      <c r="D2946" s="764">
        <v>1308</v>
      </c>
      <c r="E2946" s="589">
        <v>260283.77</v>
      </c>
    </row>
    <row r="2947" spans="1:5" x14ac:dyDescent="0.2">
      <c r="A2947" s="781">
        <v>45848</v>
      </c>
      <c r="B2947" s="331">
        <f t="shared" si="61"/>
        <v>416229.67</v>
      </c>
      <c r="C2947" s="782">
        <v>154637.9</v>
      </c>
      <c r="D2947" s="764">
        <v>1308</v>
      </c>
      <c r="E2947" s="589">
        <v>260283.77</v>
      </c>
    </row>
    <row r="2948" spans="1:5" x14ac:dyDescent="0.2">
      <c r="A2948" s="781">
        <v>45848</v>
      </c>
      <c r="B2948" s="331">
        <f t="shared" si="61"/>
        <v>416132.06999999995</v>
      </c>
      <c r="C2948" s="782">
        <v>154540.29999999999</v>
      </c>
      <c r="D2948" s="764">
        <v>1308</v>
      </c>
      <c r="E2948" s="589">
        <v>260283.77</v>
      </c>
    </row>
    <row r="2949" spans="1:5" x14ac:dyDescent="0.2">
      <c r="A2949" s="781">
        <v>45848</v>
      </c>
      <c r="B2949" s="331">
        <f t="shared" si="61"/>
        <v>416099.28</v>
      </c>
      <c r="C2949" s="782">
        <v>154507.51</v>
      </c>
      <c r="D2949" s="764">
        <v>1308</v>
      </c>
      <c r="E2949" s="589">
        <v>260283.77</v>
      </c>
    </row>
    <row r="2950" spans="1:5" x14ac:dyDescent="0.2">
      <c r="A2950" s="781">
        <v>45848</v>
      </c>
      <c r="B2950" s="331">
        <f t="shared" si="61"/>
        <v>415835.11</v>
      </c>
      <c r="C2950" s="782">
        <v>154243.34</v>
      </c>
      <c r="D2950" s="764">
        <v>1308</v>
      </c>
      <c r="E2950" s="589">
        <v>260283.77</v>
      </c>
    </row>
    <row r="2951" spans="1:5" x14ac:dyDescent="0.2">
      <c r="A2951" s="781">
        <v>45848</v>
      </c>
      <c r="B2951" s="331">
        <f t="shared" si="61"/>
        <v>415635.11</v>
      </c>
      <c r="C2951" s="782">
        <v>154043.34</v>
      </c>
      <c r="D2951" s="764">
        <v>1308</v>
      </c>
      <c r="E2951" s="589">
        <v>260283.77</v>
      </c>
    </row>
    <row r="2952" spans="1:5" x14ac:dyDescent="0.2">
      <c r="A2952" s="781">
        <v>45848</v>
      </c>
      <c r="B2952" s="331">
        <f t="shared" si="61"/>
        <v>415389.86</v>
      </c>
      <c r="C2952" s="782">
        <v>153798.09</v>
      </c>
      <c r="D2952" s="764">
        <v>1308</v>
      </c>
      <c r="E2952" s="589">
        <v>260283.77</v>
      </c>
    </row>
    <row r="2953" spans="1:5" x14ac:dyDescent="0.2">
      <c r="A2953" s="781">
        <v>45848</v>
      </c>
      <c r="B2953" s="331">
        <f t="shared" si="61"/>
        <v>415282.01</v>
      </c>
      <c r="C2953" s="782">
        <v>153690.23999999999</v>
      </c>
      <c r="D2953" s="764">
        <v>1308</v>
      </c>
      <c r="E2953" s="589">
        <v>260283.77</v>
      </c>
    </row>
    <row r="2954" spans="1:5" x14ac:dyDescent="0.2">
      <c r="A2954" s="781">
        <v>45848</v>
      </c>
      <c r="B2954" s="331">
        <f t="shared" si="61"/>
        <v>414668.14</v>
      </c>
      <c r="C2954" s="782">
        <v>153076.37</v>
      </c>
      <c r="D2954" s="764">
        <v>1308</v>
      </c>
      <c r="E2954" s="589">
        <v>260283.77</v>
      </c>
    </row>
    <row r="2955" spans="1:5" x14ac:dyDescent="0.2">
      <c r="A2955" s="781">
        <v>45848</v>
      </c>
      <c r="B2955" s="331">
        <f t="shared" si="61"/>
        <v>414394.44</v>
      </c>
      <c r="C2955" s="782">
        <v>152802.67000000001</v>
      </c>
      <c r="D2955" s="764">
        <v>1308</v>
      </c>
      <c r="E2955" s="589">
        <v>260283.77</v>
      </c>
    </row>
    <row r="2956" spans="1:5" x14ac:dyDescent="0.2">
      <c r="A2956" s="781">
        <v>45848</v>
      </c>
      <c r="B2956" s="331">
        <f t="shared" si="61"/>
        <v>413784.44</v>
      </c>
      <c r="C2956" s="782">
        <v>152192.67000000001</v>
      </c>
      <c r="D2956" s="764">
        <v>1308</v>
      </c>
      <c r="E2956" s="589">
        <v>260283.77</v>
      </c>
    </row>
    <row r="2957" spans="1:5" x14ac:dyDescent="0.2">
      <c r="A2957" s="781">
        <v>45853</v>
      </c>
      <c r="B2957" s="331">
        <f t="shared" si="61"/>
        <v>451996.07999999996</v>
      </c>
      <c r="C2957" s="782">
        <v>152208.39000000001</v>
      </c>
      <c r="D2957" s="764">
        <v>39503.919999999998</v>
      </c>
      <c r="E2957" s="589">
        <v>260283.77</v>
      </c>
    </row>
    <row r="2958" spans="1:5" x14ac:dyDescent="0.2">
      <c r="A2958" s="781">
        <v>45853</v>
      </c>
      <c r="B2958" s="331">
        <f t="shared" si="61"/>
        <v>413801.61</v>
      </c>
      <c r="C2958" s="782">
        <v>114013.92</v>
      </c>
      <c r="D2958" s="764">
        <v>39503.919999999998</v>
      </c>
      <c r="E2958" s="589">
        <v>260283.77</v>
      </c>
    </row>
    <row r="2959" spans="1:5" x14ac:dyDescent="0.2">
      <c r="A2959" s="781">
        <v>45856</v>
      </c>
      <c r="B2959" s="331">
        <f t="shared" si="61"/>
        <v>375879.52</v>
      </c>
      <c r="C2959" s="782">
        <v>113819.83</v>
      </c>
      <c r="D2959" s="764">
        <v>1775.92</v>
      </c>
      <c r="E2959" s="589">
        <v>260283.77</v>
      </c>
    </row>
    <row r="2960" spans="1:5" x14ac:dyDescent="0.2">
      <c r="A2960" s="781">
        <v>45856</v>
      </c>
      <c r="B2960" s="331">
        <f t="shared" si="61"/>
        <v>370049.44</v>
      </c>
      <c r="C2960" s="782">
        <v>107989.75</v>
      </c>
      <c r="D2960" s="764">
        <v>1775.92</v>
      </c>
      <c r="E2960" s="589">
        <v>260283.77</v>
      </c>
    </row>
    <row r="2961" spans="1:5" x14ac:dyDescent="0.2">
      <c r="A2961" s="781">
        <v>45856</v>
      </c>
      <c r="B2961" s="331">
        <f t="shared" si="61"/>
        <v>369451.61</v>
      </c>
      <c r="C2961" s="782">
        <v>107391.92</v>
      </c>
      <c r="D2961" s="764">
        <v>1775.92</v>
      </c>
      <c r="E2961" s="589">
        <v>260283.77</v>
      </c>
    </row>
    <row r="2962" spans="1:5" x14ac:dyDescent="0.2">
      <c r="A2962" s="781">
        <v>45856</v>
      </c>
      <c r="B2962" s="331">
        <f t="shared" si="61"/>
        <v>369326.61</v>
      </c>
      <c r="C2962" s="782">
        <v>107266.92</v>
      </c>
      <c r="D2962" s="764">
        <v>1775.92</v>
      </c>
      <c r="E2962" s="589">
        <v>260283.77</v>
      </c>
    </row>
    <row r="2963" spans="1:5" x14ac:dyDescent="0.2">
      <c r="A2963" s="781">
        <v>45856</v>
      </c>
      <c r="B2963" s="331">
        <f t="shared" si="61"/>
        <v>368190.56</v>
      </c>
      <c r="C2963" s="782">
        <v>106130.87</v>
      </c>
      <c r="D2963" s="764">
        <v>1775.92</v>
      </c>
      <c r="E2963" s="589">
        <v>260283.77</v>
      </c>
    </row>
    <row r="2964" spans="1:5" x14ac:dyDescent="0.2">
      <c r="A2964" s="781">
        <v>45856</v>
      </c>
      <c r="B2964" s="331">
        <f t="shared" si="61"/>
        <v>368056.35</v>
      </c>
      <c r="C2964" s="782">
        <v>105996.66</v>
      </c>
      <c r="D2964" s="764">
        <v>1775.92</v>
      </c>
      <c r="E2964" s="589">
        <v>260283.77</v>
      </c>
    </row>
    <row r="2965" spans="1:5" x14ac:dyDescent="0.2">
      <c r="A2965" s="781">
        <v>45856</v>
      </c>
      <c r="B2965" s="331">
        <f t="shared" si="61"/>
        <v>368039.85</v>
      </c>
      <c r="C2965" s="782">
        <v>105980.16</v>
      </c>
      <c r="D2965" s="764">
        <v>1775.92</v>
      </c>
      <c r="E2965" s="589">
        <v>260283.77</v>
      </c>
    </row>
    <row r="2966" spans="1:5" x14ac:dyDescent="0.2">
      <c r="A2966" s="781">
        <v>45856</v>
      </c>
      <c r="B2966" s="331">
        <f t="shared" si="61"/>
        <v>364039.85</v>
      </c>
      <c r="C2966" s="782">
        <v>101980.16</v>
      </c>
      <c r="D2966" s="764">
        <v>1775.92</v>
      </c>
      <c r="E2966" s="589">
        <v>260283.77</v>
      </c>
    </row>
    <row r="2967" spans="1:5" x14ac:dyDescent="0.2">
      <c r="A2967" s="781">
        <v>45856</v>
      </c>
      <c r="B2967" s="331">
        <f t="shared" si="61"/>
        <v>363890.69999999995</v>
      </c>
      <c r="C2967" s="782">
        <v>101831.01</v>
      </c>
      <c r="D2967" s="764">
        <v>1775.92</v>
      </c>
      <c r="E2967" s="589">
        <v>260283.77</v>
      </c>
    </row>
    <row r="2968" spans="1:5" x14ac:dyDescent="0.2">
      <c r="A2968" s="781">
        <v>45856</v>
      </c>
      <c r="B2968" s="331">
        <f t="shared" ref="B2968:B3031" si="62">C2968+D2968+E2968</f>
        <v>362890.69999999995</v>
      </c>
      <c r="C2968" s="782">
        <v>100831.01</v>
      </c>
      <c r="D2968" s="764">
        <v>1775.92</v>
      </c>
      <c r="E2968" s="589">
        <v>260283.77</v>
      </c>
    </row>
    <row r="2969" spans="1:5" x14ac:dyDescent="0.2">
      <c r="A2969" s="781">
        <v>45856</v>
      </c>
      <c r="B2969" s="331">
        <f t="shared" si="62"/>
        <v>361486.26</v>
      </c>
      <c r="C2969" s="782">
        <v>99426.57</v>
      </c>
      <c r="D2969" s="764">
        <v>1775.92</v>
      </c>
      <c r="E2969" s="589">
        <v>260283.77</v>
      </c>
    </row>
    <row r="2970" spans="1:5" x14ac:dyDescent="0.2">
      <c r="A2970" s="781">
        <v>45856</v>
      </c>
      <c r="B2970" s="331">
        <f t="shared" si="62"/>
        <v>360972.45999999996</v>
      </c>
      <c r="C2970" s="782">
        <v>98912.77</v>
      </c>
      <c r="D2970" s="764">
        <v>1775.92</v>
      </c>
      <c r="E2970" s="589">
        <v>260283.77</v>
      </c>
    </row>
    <row r="2971" spans="1:5" x14ac:dyDescent="0.2">
      <c r="A2971" s="781">
        <v>45856</v>
      </c>
      <c r="B2971" s="331">
        <f t="shared" si="62"/>
        <v>360376.55</v>
      </c>
      <c r="C2971" s="782">
        <v>98316.86</v>
      </c>
      <c r="D2971" s="764">
        <v>1775.92</v>
      </c>
      <c r="E2971" s="589">
        <v>260283.77</v>
      </c>
    </row>
    <row r="2972" spans="1:5" x14ac:dyDescent="0.2">
      <c r="A2972" s="781">
        <v>45856</v>
      </c>
      <c r="B2972" s="331">
        <f t="shared" si="62"/>
        <v>360358.55</v>
      </c>
      <c r="C2972" s="782">
        <v>98298.86</v>
      </c>
      <c r="D2972" s="764">
        <v>1775.92</v>
      </c>
      <c r="E2972" s="589">
        <v>260283.77</v>
      </c>
    </row>
    <row r="2973" spans="1:5" x14ac:dyDescent="0.2">
      <c r="A2973" s="781">
        <v>45856</v>
      </c>
      <c r="B2973" s="331">
        <f t="shared" si="62"/>
        <v>360140.12</v>
      </c>
      <c r="C2973" s="782">
        <v>98080.43</v>
      </c>
      <c r="D2973" s="764">
        <v>1775.92</v>
      </c>
      <c r="E2973" s="589">
        <v>260283.77</v>
      </c>
    </row>
    <row r="2974" spans="1:5" x14ac:dyDescent="0.2">
      <c r="A2974" s="781">
        <v>45856</v>
      </c>
      <c r="B2974" s="331">
        <f t="shared" si="62"/>
        <v>360122.12</v>
      </c>
      <c r="C2974" s="782">
        <v>98062.43</v>
      </c>
      <c r="D2974" s="764">
        <v>1775.92</v>
      </c>
      <c r="E2974" s="589">
        <v>260283.77</v>
      </c>
    </row>
    <row r="2975" spans="1:5" x14ac:dyDescent="0.2">
      <c r="A2975" s="781">
        <v>45856</v>
      </c>
      <c r="B2975" s="331">
        <f t="shared" si="62"/>
        <v>359917.33999999997</v>
      </c>
      <c r="C2975" s="782">
        <v>97857.65</v>
      </c>
      <c r="D2975" s="764">
        <v>1775.92</v>
      </c>
      <c r="E2975" s="589">
        <v>260283.77</v>
      </c>
    </row>
    <row r="2976" spans="1:5" x14ac:dyDescent="0.2">
      <c r="A2976" s="781">
        <v>45859</v>
      </c>
      <c r="B2976" s="331">
        <f t="shared" si="62"/>
        <v>358001.45999999996</v>
      </c>
      <c r="C2976" s="782">
        <v>97517.69</v>
      </c>
      <c r="D2976" s="764">
        <v>200</v>
      </c>
      <c r="E2976" s="589">
        <v>260283.77</v>
      </c>
    </row>
    <row r="2977" spans="1:5" x14ac:dyDescent="0.2">
      <c r="A2977" s="781">
        <v>45859</v>
      </c>
      <c r="B2977" s="331">
        <f t="shared" si="62"/>
        <v>355080.42</v>
      </c>
      <c r="C2977" s="782">
        <v>94596.65</v>
      </c>
      <c r="D2977" s="764">
        <v>200</v>
      </c>
      <c r="E2977" s="589">
        <v>260283.77</v>
      </c>
    </row>
    <row r="2978" spans="1:5" x14ac:dyDescent="0.2">
      <c r="A2978" s="781">
        <v>45861</v>
      </c>
      <c r="B2978" s="331">
        <f t="shared" si="62"/>
        <v>355325.42</v>
      </c>
      <c r="C2978" s="782">
        <v>94841.65</v>
      </c>
      <c r="D2978" s="764">
        <v>200</v>
      </c>
      <c r="E2978" s="589">
        <v>260283.77</v>
      </c>
    </row>
    <row r="2979" spans="1:5" x14ac:dyDescent="0.2">
      <c r="A2979" s="781">
        <v>45861</v>
      </c>
      <c r="B2979" s="331">
        <f t="shared" si="62"/>
        <v>355645.42</v>
      </c>
      <c r="C2979" s="782">
        <v>95161.65</v>
      </c>
      <c r="D2979" s="764">
        <v>200</v>
      </c>
      <c r="E2979" s="589">
        <v>260283.77</v>
      </c>
    </row>
    <row r="2980" spans="1:5" x14ac:dyDescent="0.2">
      <c r="A2980" s="781">
        <v>45861</v>
      </c>
      <c r="B2980" s="331">
        <f t="shared" si="62"/>
        <v>355710.42</v>
      </c>
      <c r="C2980" s="782">
        <v>95226.65</v>
      </c>
      <c r="D2980" s="764">
        <v>200</v>
      </c>
      <c r="E2980" s="589">
        <v>260283.77</v>
      </c>
    </row>
    <row r="2981" spans="1:5" x14ac:dyDescent="0.2">
      <c r="A2981" s="781">
        <v>45861</v>
      </c>
      <c r="B2981" s="331">
        <f t="shared" si="62"/>
        <v>387281.72</v>
      </c>
      <c r="C2981" s="782">
        <v>126797.95</v>
      </c>
      <c r="D2981" s="764">
        <v>200</v>
      </c>
      <c r="E2981" s="589">
        <v>260283.77</v>
      </c>
    </row>
    <row r="2982" spans="1:5" x14ac:dyDescent="0.2">
      <c r="A2982" s="781">
        <v>45862</v>
      </c>
      <c r="B2982" s="331">
        <f t="shared" si="62"/>
        <v>387792.72</v>
      </c>
      <c r="C2982" s="782">
        <v>127308.95</v>
      </c>
      <c r="D2982" s="764">
        <v>200</v>
      </c>
      <c r="E2982" s="589">
        <v>260283.77</v>
      </c>
    </row>
    <row r="2983" spans="1:5" x14ac:dyDescent="0.2">
      <c r="A2983" s="781">
        <v>45862</v>
      </c>
      <c r="B2983" s="331">
        <f t="shared" si="62"/>
        <v>386693.89</v>
      </c>
      <c r="C2983" s="782">
        <v>126210.12</v>
      </c>
      <c r="D2983" s="764">
        <v>200</v>
      </c>
      <c r="E2983" s="589">
        <v>260283.77</v>
      </c>
    </row>
    <row r="2984" spans="1:5" x14ac:dyDescent="0.2">
      <c r="A2984" s="781">
        <v>45862</v>
      </c>
      <c r="B2984" s="331">
        <f t="shared" si="62"/>
        <v>403606.37</v>
      </c>
      <c r="C2984" s="782">
        <v>143122.6</v>
      </c>
      <c r="D2984" s="764">
        <v>200</v>
      </c>
      <c r="E2984" s="589">
        <v>260283.77</v>
      </c>
    </row>
    <row r="2985" spans="1:5" x14ac:dyDescent="0.2">
      <c r="A2985" s="781">
        <v>45863</v>
      </c>
      <c r="B2985" s="331">
        <f t="shared" si="62"/>
        <v>402581.49</v>
      </c>
      <c r="C2985" s="782">
        <v>142097.72</v>
      </c>
      <c r="D2985" s="764">
        <v>200</v>
      </c>
      <c r="E2985" s="589">
        <v>260283.77</v>
      </c>
    </row>
    <row r="2986" spans="1:5" x14ac:dyDescent="0.2">
      <c r="A2986" s="781">
        <v>45863</v>
      </c>
      <c r="B2986" s="331">
        <f t="shared" si="62"/>
        <v>402189.56999999995</v>
      </c>
      <c r="C2986" s="782">
        <v>141705.79999999999</v>
      </c>
      <c r="D2986" s="764">
        <v>200</v>
      </c>
      <c r="E2986" s="589">
        <v>260283.77</v>
      </c>
    </row>
    <row r="2987" spans="1:5" x14ac:dyDescent="0.2">
      <c r="A2987" s="781">
        <v>45863</v>
      </c>
      <c r="B2987" s="331">
        <f t="shared" si="62"/>
        <v>402044.56999999995</v>
      </c>
      <c r="C2987" s="782">
        <v>141560.79999999999</v>
      </c>
      <c r="D2987" s="764">
        <v>200</v>
      </c>
      <c r="E2987" s="589">
        <v>260283.77</v>
      </c>
    </row>
    <row r="2988" spans="1:5" x14ac:dyDescent="0.2">
      <c r="A2988" s="781">
        <v>45863</v>
      </c>
      <c r="B2988" s="331">
        <f t="shared" si="62"/>
        <v>401479.56999999995</v>
      </c>
      <c r="C2988" s="782">
        <v>140995.79999999999</v>
      </c>
      <c r="D2988" s="764">
        <v>200</v>
      </c>
      <c r="E2988" s="589">
        <v>260283.77</v>
      </c>
    </row>
    <row r="2989" spans="1:5" x14ac:dyDescent="0.2">
      <c r="A2989" s="781">
        <v>45866</v>
      </c>
      <c r="B2989" s="331">
        <f t="shared" si="62"/>
        <v>401450.47</v>
      </c>
      <c r="C2989" s="782">
        <v>140966.70000000001</v>
      </c>
      <c r="D2989" s="764">
        <v>200</v>
      </c>
      <c r="E2989" s="589">
        <v>260283.77</v>
      </c>
    </row>
    <row r="2990" spans="1:5" x14ac:dyDescent="0.2">
      <c r="A2990" s="781">
        <v>45868</v>
      </c>
      <c r="B2990" s="331">
        <f t="shared" si="62"/>
        <v>401450.62</v>
      </c>
      <c r="C2990" s="782">
        <v>102167.85</v>
      </c>
      <c r="D2990" s="764">
        <v>38999</v>
      </c>
      <c r="E2990" s="589">
        <v>260283.77</v>
      </c>
    </row>
    <row r="2991" spans="1:5" x14ac:dyDescent="0.2">
      <c r="A2991" s="781">
        <v>45869</v>
      </c>
      <c r="B2991" s="331">
        <f t="shared" si="62"/>
        <v>402510.08000000002</v>
      </c>
      <c r="C2991" s="782">
        <v>102497.85</v>
      </c>
      <c r="D2991" s="764">
        <v>38999</v>
      </c>
      <c r="E2991" s="589">
        <v>261013.23</v>
      </c>
    </row>
    <row r="2992" spans="1:5" x14ac:dyDescent="0.2">
      <c r="A2992" s="781">
        <v>45869</v>
      </c>
      <c r="B2992" s="331">
        <f t="shared" si="62"/>
        <v>406227.78</v>
      </c>
      <c r="C2992" s="782">
        <v>106215.55</v>
      </c>
      <c r="D2992" s="764">
        <v>38999</v>
      </c>
      <c r="E2992" s="589">
        <v>261013.23</v>
      </c>
    </row>
    <row r="2993" spans="1:5" x14ac:dyDescent="0.2">
      <c r="A2993" s="781">
        <v>45869</v>
      </c>
      <c r="B2993" s="331">
        <f t="shared" si="62"/>
        <v>406327.38</v>
      </c>
      <c r="C2993" s="782">
        <v>106315.15</v>
      </c>
      <c r="D2993" s="764">
        <v>38999</v>
      </c>
      <c r="E2993" s="589">
        <v>261013.23</v>
      </c>
    </row>
    <row r="2994" spans="1:5" x14ac:dyDescent="0.2">
      <c r="A2994" s="781">
        <v>45870</v>
      </c>
      <c r="B2994" s="331">
        <f t="shared" si="62"/>
        <v>373220.45</v>
      </c>
      <c r="C2994" s="782">
        <v>105971.65</v>
      </c>
      <c r="D2994" s="764">
        <v>6235.57</v>
      </c>
      <c r="E2994" s="589">
        <v>261013.23</v>
      </c>
    </row>
    <row r="2995" spans="1:5" x14ac:dyDescent="0.2">
      <c r="A2995" s="781">
        <v>45870</v>
      </c>
      <c r="B2995" s="331">
        <f t="shared" si="62"/>
        <v>373166.93000000005</v>
      </c>
      <c r="C2995" s="782">
        <v>105918.13</v>
      </c>
      <c r="D2995" s="764">
        <v>6235.57</v>
      </c>
      <c r="E2995" s="589">
        <v>261013.23</v>
      </c>
    </row>
    <row r="2996" spans="1:5" x14ac:dyDescent="0.2">
      <c r="A2996" s="781">
        <v>45870</v>
      </c>
      <c r="B2996" s="331">
        <f t="shared" si="62"/>
        <v>372948.5</v>
      </c>
      <c r="C2996" s="782">
        <v>105699.7</v>
      </c>
      <c r="D2996" s="764">
        <v>6235.57</v>
      </c>
      <c r="E2996" s="589">
        <v>261013.23</v>
      </c>
    </row>
    <row r="2997" spans="1:5" x14ac:dyDescent="0.2">
      <c r="A2997" s="781">
        <v>45870</v>
      </c>
      <c r="B2997" s="331">
        <f t="shared" si="62"/>
        <v>370574.71</v>
      </c>
      <c r="C2997" s="782">
        <v>103325.91</v>
      </c>
      <c r="D2997" s="764">
        <v>6235.57</v>
      </c>
      <c r="E2997" s="589">
        <v>261013.23</v>
      </c>
    </row>
    <row r="2998" spans="1:5" x14ac:dyDescent="0.2">
      <c r="A2998" s="781">
        <v>45870</v>
      </c>
      <c r="B2998" s="331">
        <f t="shared" si="62"/>
        <v>371073.9</v>
      </c>
      <c r="C2998" s="782">
        <v>103825.1</v>
      </c>
      <c r="D2998" s="764">
        <v>6235.57</v>
      </c>
      <c r="E2998" s="589">
        <v>261013.23</v>
      </c>
    </row>
    <row r="2999" spans="1:5" x14ac:dyDescent="0.2">
      <c r="A2999" s="781">
        <v>45873</v>
      </c>
      <c r="B2999" s="331">
        <f t="shared" si="62"/>
        <v>370733.94</v>
      </c>
      <c r="C2999" s="782">
        <v>103485.14</v>
      </c>
      <c r="D2999" s="764">
        <v>6235.57</v>
      </c>
      <c r="E2999" s="589">
        <v>261013.23</v>
      </c>
    </row>
    <row r="3000" spans="1:5" x14ac:dyDescent="0.2">
      <c r="A3000" s="781">
        <v>45873</v>
      </c>
      <c r="B3000" s="331">
        <f t="shared" si="62"/>
        <v>370983.38</v>
      </c>
      <c r="C3000" s="782">
        <v>103734.58</v>
      </c>
      <c r="D3000" s="764">
        <v>6235.57</v>
      </c>
      <c r="E3000" s="589">
        <v>261013.23</v>
      </c>
    </row>
    <row r="3001" spans="1:5" x14ac:dyDescent="0.2">
      <c r="A3001" s="781">
        <v>45875</v>
      </c>
      <c r="B3001" s="331">
        <f t="shared" si="62"/>
        <v>370948.88</v>
      </c>
      <c r="C3001" s="782">
        <v>103700.08</v>
      </c>
      <c r="D3001" s="764">
        <v>6235.57</v>
      </c>
      <c r="E3001" s="589">
        <v>261013.23</v>
      </c>
    </row>
    <row r="3002" spans="1:5" x14ac:dyDescent="0.2">
      <c r="A3002" s="781">
        <v>45876</v>
      </c>
      <c r="B3002" s="331">
        <f t="shared" si="62"/>
        <v>372948.88</v>
      </c>
      <c r="C3002" s="782">
        <v>105700.08</v>
      </c>
      <c r="D3002" s="764">
        <v>6235.57</v>
      </c>
      <c r="E3002" s="589">
        <v>261013.23</v>
      </c>
    </row>
    <row r="3003" spans="1:5" x14ac:dyDescent="0.2">
      <c r="A3003" s="781">
        <v>45876</v>
      </c>
      <c r="B3003" s="331">
        <f t="shared" si="62"/>
        <v>372818.97</v>
      </c>
      <c r="C3003" s="782">
        <v>105570.17</v>
      </c>
      <c r="D3003" s="764">
        <v>6235.57</v>
      </c>
      <c r="E3003" s="589">
        <v>261013.23</v>
      </c>
    </row>
    <row r="3004" spans="1:5" x14ac:dyDescent="0.2">
      <c r="A3004" s="781">
        <v>45876</v>
      </c>
      <c r="B3004" s="331">
        <f t="shared" si="62"/>
        <v>372668.97</v>
      </c>
      <c r="C3004" s="782">
        <v>105420.17</v>
      </c>
      <c r="D3004" s="764">
        <v>6235.57</v>
      </c>
      <c r="E3004" s="589">
        <v>261013.23</v>
      </c>
    </row>
    <row r="3005" spans="1:5" x14ac:dyDescent="0.2">
      <c r="A3005" s="781">
        <v>45876</v>
      </c>
      <c r="B3005" s="331">
        <f t="shared" si="62"/>
        <v>372514.27</v>
      </c>
      <c r="C3005" s="782">
        <v>105265.47</v>
      </c>
      <c r="D3005" s="764">
        <v>6235.57</v>
      </c>
      <c r="E3005" s="589">
        <v>261013.23</v>
      </c>
    </row>
    <row r="3006" spans="1:5" x14ac:dyDescent="0.2">
      <c r="A3006" s="781">
        <v>45876</v>
      </c>
      <c r="B3006" s="331">
        <f t="shared" si="62"/>
        <v>370449.61</v>
      </c>
      <c r="C3006" s="782">
        <v>103200.81</v>
      </c>
      <c r="D3006" s="764">
        <v>6235.57</v>
      </c>
      <c r="E3006" s="589">
        <v>261013.23</v>
      </c>
    </row>
    <row r="3007" spans="1:5" x14ac:dyDescent="0.2">
      <c r="A3007" s="781">
        <v>45876</v>
      </c>
      <c r="B3007" s="331">
        <f t="shared" si="62"/>
        <v>370263.06</v>
      </c>
      <c r="C3007" s="782">
        <v>103014.26</v>
      </c>
      <c r="D3007" s="764">
        <v>6235.57</v>
      </c>
      <c r="E3007" s="589">
        <v>261013.23</v>
      </c>
    </row>
    <row r="3008" spans="1:5" x14ac:dyDescent="0.2">
      <c r="A3008" s="781">
        <v>45876</v>
      </c>
      <c r="B3008" s="331">
        <f t="shared" si="62"/>
        <v>370127.99</v>
      </c>
      <c r="C3008" s="782">
        <v>102879.19</v>
      </c>
      <c r="D3008" s="764">
        <v>6235.57</v>
      </c>
      <c r="E3008" s="589">
        <v>261013.23</v>
      </c>
    </row>
    <row r="3009" spans="1:5" x14ac:dyDescent="0.2">
      <c r="A3009" s="781">
        <v>45876</v>
      </c>
      <c r="B3009" s="331">
        <f t="shared" si="62"/>
        <v>367439.1</v>
      </c>
      <c r="C3009" s="782">
        <v>100190.3</v>
      </c>
      <c r="D3009" s="764">
        <v>6235.57</v>
      </c>
      <c r="E3009" s="589">
        <v>261013.23</v>
      </c>
    </row>
    <row r="3010" spans="1:5" x14ac:dyDescent="0.2">
      <c r="A3010" s="781">
        <v>45876</v>
      </c>
      <c r="B3010" s="331">
        <f t="shared" si="62"/>
        <v>367173.56</v>
      </c>
      <c r="C3010" s="782">
        <v>99924.76</v>
      </c>
      <c r="D3010" s="764">
        <v>6235.57</v>
      </c>
      <c r="E3010" s="589">
        <v>261013.23</v>
      </c>
    </row>
    <row r="3011" spans="1:5" x14ac:dyDescent="0.2">
      <c r="A3011" s="781">
        <v>45876</v>
      </c>
      <c r="B3011" s="331">
        <f t="shared" si="62"/>
        <v>367149.36</v>
      </c>
      <c r="C3011" s="782">
        <v>99900.56</v>
      </c>
      <c r="D3011" s="764">
        <v>6235.57</v>
      </c>
      <c r="E3011" s="589">
        <v>261013.23</v>
      </c>
    </row>
    <row r="3012" spans="1:5" x14ac:dyDescent="0.2">
      <c r="A3012" s="781">
        <v>45876</v>
      </c>
      <c r="B3012" s="331">
        <f t="shared" si="62"/>
        <v>366554.36</v>
      </c>
      <c r="C3012" s="782">
        <v>99305.56</v>
      </c>
      <c r="D3012" s="764">
        <v>6235.57</v>
      </c>
      <c r="E3012" s="589">
        <v>261013.23</v>
      </c>
    </row>
    <row r="3013" spans="1:5" x14ac:dyDescent="0.2">
      <c r="A3013" s="781">
        <v>45876</v>
      </c>
      <c r="B3013" s="331">
        <f t="shared" si="62"/>
        <v>366291.36</v>
      </c>
      <c r="C3013" s="782">
        <v>99042.559999999998</v>
      </c>
      <c r="D3013" s="764">
        <v>6235.57</v>
      </c>
      <c r="E3013" s="589">
        <v>261013.23</v>
      </c>
    </row>
    <row r="3014" spans="1:5" x14ac:dyDescent="0.2">
      <c r="A3014" s="781">
        <v>45876</v>
      </c>
      <c r="B3014" s="331">
        <f t="shared" si="62"/>
        <v>365726.4</v>
      </c>
      <c r="C3014" s="782">
        <v>98477.6</v>
      </c>
      <c r="D3014" s="764">
        <v>6235.57</v>
      </c>
      <c r="E3014" s="589">
        <v>261013.23</v>
      </c>
    </row>
    <row r="3015" spans="1:5" x14ac:dyDescent="0.2">
      <c r="A3015" s="781">
        <v>45876</v>
      </c>
      <c r="B3015" s="331">
        <f t="shared" si="62"/>
        <v>363341.49</v>
      </c>
      <c r="C3015" s="782">
        <v>96092.69</v>
      </c>
      <c r="D3015" s="764">
        <v>6235.57</v>
      </c>
      <c r="E3015" s="589">
        <v>261013.23</v>
      </c>
    </row>
    <row r="3016" spans="1:5" x14ac:dyDescent="0.2">
      <c r="A3016" s="781">
        <v>45876</v>
      </c>
      <c r="B3016" s="331">
        <f t="shared" si="62"/>
        <v>363249.49</v>
      </c>
      <c r="C3016" s="782">
        <v>96000.69</v>
      </c>
      <c r="D3016" s="764">
        <v>6235.57</v>
      </c>
      <c r="E3016" s="589">
        <v>261013.23</v>
      </c>
    </row>
    <row r="3017" spans="1:5" x14ac:dyDescent="0.2">
      <c r="A3017" s="781">
        <v>45881</v>
      </c>
      <c r="B3017" s="331">
        <f t="shared" si="62"/>
        <v>397533.02</v>
      </c>
      <c r="C3017" s="782">
        <v>130284.22</v>
      </c>
      <c r="D3017" s="764">
        <v>6235.57</v>
      </c>
      <c r="E3017" s="589">
        <v>261013.23</v>
      </c>
    </row>
    <row r="3018" spans="1:5" x14ac:dyDescent="0.2">
      <c r="A3018" s="781">
        <v>45882</v>
      </c>
      <c r="B3018" s="331">
        <f t="shared" si="62"/>
        <v>397533.02</v>
      </c>
      <c r="C3018" s="782">
        <v>96953.07</v>
      </c>
      <c r="D3018" s="764">
        <v>39566.720000000001</v>
      </c>
      <c r="E3018" s="589">
        <v>261013.23</v>
      </c>
    </row>
    <row r="3019" spans="1:5" x14ac:dyDescent="0.2">
      <c r="A3019" s="781">
        <v>45884</v>
      </c>
      <c r="B3019" s="331">
        <f t="shared" si="62"/>
        <v>373166.30000000005</v>
      </c>
      <c r="C3019" s="782">
        <v>111953.07</v>
      </c>
      <c r="D3019" s="764">
        <v>200</v>
      </c>
      <c r="E3019" s="589">
        <v>261013.23</v>
      </c>
    </row>
    <row r="3020" spans="1:5" x14ac:dyDescent="0.2">
      <c r="A3020" s="781">
        <v>45884</v>
      </c>
      <c r="B3020" s="331">
        <f t="shared" si="62"/>
        <v>373220.75</v>
      </c>
      <c r="C3020" s="782">
        <v>112007.52</v>
      </c>
      <c r="D3020" s="764">
        <v>200</v>
      </c>
      <c r="E3020" s="589">
        <v>261013.23</v>
      </c>
    </row>
    <row r="3021" spans="1:5" x14ac:dyDescent="0.2">
      <c r="A3021" s="781">
        <v>45884</v>
      </c>
      <c r="B3021" s="331">
        <f t="shared" si="62"/>
        <v>373273.14</v>
      </c>
      <c r="C3021" s="782">
        <v>112059.91</v>
      </c>
      <c r="D3021" s="764">
        <v>200</v>
      </c>
      <c r="E3021" s="589">
        <v>261013.23</v>
      </c>
    </row>
    <row r="3022" spans="1:5" x14ac:dyDescent="0.2">
      <c r="A3022" s="781">
        <v>45884</v>
      </c>
      <c r="B3022" s="331">
        <f t="shared" si="62"/>
        <v>398405.97</v>
      </c>
      <c r="C3022" s="782">
        <v>137192.74</v>
      </c>
      <c r="D3022" s="764">
        <v>200</v>
      </c>
      <c r="E3022" s="589">
        <v>261013.23</v>
      </c>
    </row>
    <row r="3023" spans="1:5" x14ac:dyDescent="0.2">
      <c r="A3023" s="781">
        <v>45884</v>
      </c>
      <c r="B3023" s="331">
        <f t="shared" si="62"/>
        <v>425038.58</v>
      </c>
      <c r="C3023" s="782">
        <v>163825.35</v>
      </c>
      <c r="D3023" s="764">
        <v>200</v>
      </c>
      <c r="E3023" s="589">
        <v>261013.23</v>
      </c>
    </row>
    <row r="3024" spans="1:5" x14ac:dyDescent="0.2">
      <c r="A3024" s="781">
        <v>45884</v>
      </c>
      <c r="B3024" s="331">
        <f t="shared" si="62"/>
        <v>449217.56</v>
      </c>
      <c r="C3024" s="782">
        <v>188004.33</v>
      </c>
      <c r="D3024" s="764">
        <v>200</v>
      </c>
      <c r="E3024" s="589">
        <v>261013.23</v>
      </c>
    </row>
    <row r="3025" spans="1:5" x14ac:dyDescent="0.2">
      <c r="A3025" s="781">
        <v>45884</v>
      </c>
      <c r="B3025" s="331">
        <f t="shared" si="62"/>
        <v>449228.73</v>
      </c>
      <c r="C3025" s="782">
        <v>188015.5</v>
      </c>
      <c r="D3025" s="764">
        <v>200</v>
      </c>
      <c r="E3025" s="589">
        <v>261013.23</v>
      </c>
    </row>
    <row r="3026" spans="1:5" x14ac:dyDescent="0.2">
      <c r="A3026" s="781">
        <v>45887</v>
      </c>
      <c r="B3026" s="331">
        <f t="shared" si="62"/>
        <v>449010.30000000005</v>
      </c>
      <c r="C3026" s="782">
        <v>187797.07</v>
      </c>
      <c r="D3026" s="764">
        <v>200</v>
      </c>
      <c r="E3026" s="589">
        <v>261013.23</v>
      </c>
    </row>
    <row r="3027" spans="1:5" x14ac:dyDescent="0.2">
      <c r="A3027" s="781">
        <v>45887</v>
      </c>
      <c r="B3027" s="331">
        <f t="shared" si="62"/>
        <v>448670.33999999997</v>
      </c>
      <c r="C3027" s="782">
        <v>187457.11</v>
      </c>
      <c r="D3027" s="764">
        <v>200</v>
      </c>
      <c r="E3027" s="589">
        <v>261013.23</v>
      </c>
    </row>
    <row r="3028" spans="1:5" x14ac:dyDescent="0.2">
      <c r="A3028" s="781">
        <v>45887</v>
      </c>
      <c r="B3028" s="331">
        <f t="shared" si="62"/>
        <v>448769.94</v>
      </c>
      <c r="C3028" s="782">
        <v>187556.71</v>
      </c>
      <c r="D3028" s="764">
        <v>200</v>
      </c>
      <c r="E3028" s="589">
        <v>261013.23</v>
      </c>
    </row>
    <row r="3029" spans="1:5" x14ac:dyDescent="0.2">
      <c r="A3029" s="781">
        <v>45889</v>
      </c>
      <c r="B3029" s="331">
        <f t="shared" si="62"/>
        <v>445848.65</v>
      </c>
      <c r="C3029" s="782">
        <v>184635.42</v>
      </c>
      <c r="D3029" s="764">
        <v>200</v>
      </c>
      <c r="E3029" s="589">
        <v>261013.23</v>
      </c>
    </row>
    <row r="3030" spans="1:5" x14ac:dyDescent="0.2">
      <c r="A3030" s="781">
        <v>45890</v>
      </c>
      <c r="B3030" s="331">
        <f t="shared" si="62"/>
        <v>445609.57</v>
      </c>
      <c r="C3030" s="782">
        <v>184396.34</v>
      </c>
      <c r="D3030" s="764">
        <v>200</v>
      </c>
      <c r="E3030" s="589">
        <v>261013.23</v>
      </c>
    </row>
    <row r="3031" spans="1:5" x14ac:dyDescent="0.2">
      <c r="A3031" s="781">
        <v>45890</v>
      </c>
      <c r="B3031" s="331">
        <f t="shared" si="62"/>
        <v>445591.92000000004</v>
      </c>
      <c r="C3031" s="782">
        <v>184378.69</v>
      </c>
      <c r="D3031" s="764">
        <v>200</v>
      </c>
      <c r="E3031" s="589">
        <v>261013.23</v>
      </c>
    </row>
    <row r="3032" spans="1:5" x14ac:dyDescent="0.2">
      <c r="A3032" s="781">
        <v>45890</v>
      </c>
      <c r="B3032" s="331">
        <f t="shared" ref="B3032:B3051" si="63">C3032+D3032+E3032</f>
        <v>440533.01</v>
      </c>
      <c r="C3032" s="782">
        <v>179319.78</v>
      </c>
      <c r="D3032" s="764">
        <v>200</v>
      </c>
      <c r="E3032" s="589">
        <v>261013.23</v>
      </c>
    </row>
    <row r="3033" spans="1:5" x14ac:dyDescent="0.2">
      <c r="A3033" s="781">
        <v>45890</v>
      </c>
      <c r="B3033" s="331">
        <f t="shared" si="63"/>
        <v>440470.07</v>
      </c>
      <c r="C3033" s="782">
        <v>179256.84</v>
      </c>
      <c r="D3033" s="764">
        <v>200</v>
      </c>
      <c r="E3033" s="589">
        <v>261013.23</v>
      </c>
    </row>
    <row r="3034" spans="1:5" x14ac:dyDescent="0.2">
      <c r="A3034" s="781">
        <v>45890</v>
      </c>
      <c r="B3034" s="331">
        <f t="shared" si="63"/>
        <v>440086.57</v>
      </c>
      <c r="C3034" s="782">
        <v>178873.34</v>
      </c>
      <c r="D3034" s="764">
        <v>200</v>
      </c>
      <c r="E3034" s="589">
        <v>261013.23</v>
      </c>
    </row>
    <row r="3035" spans="1:5" x14ac:dyDescent="0.2">
      <c r="A3035" s="781">
        <v>45890</v>
      </c>
      <c r="B3035" s="331">
        <f t="shared" si="63"/>
        <v>439732.36</v>
      </c>
      <c r="C3035" s="782">
        <v>178519.13</v>
      </c>
      <c r="D3035" s="764">
        <v>200</v>
      </c>
      <c r="E3035" s="589">
        <v>261013.23</v>
      </c>
    </row>
    <row r="3036" spans="1:5" x14ac:dyDescent="0.2">
      <c r="A3036" s="781">
        <v>45890</v>
      </c>
      <c r="B3036" s="331">
        <f t="shared" si="63"/>
        <v>439597.36</v>
      </c>
      <c r="C3036" s="782">
        <v>178384.13</v>
      </c>
      <c r="D3036" s="764">
        <v>200</v>
      </c>
      <c r="E3036" s="589">
        <v>261013.23</v>
      </c>
    </row>
    <row r="3037" spans="1:5" x14ac:dyDescent="0.2">
      <c r="A3037" s="781">
        <v>45890</v>
      </c>
      <c r="B3037" s="331">
        <f t="shared" si="63"/>
        <v>439513.04000000004</v>
      </c>
      <c r="C3037" s="782">
        <v>178299.81</v>
      </c>
      <c r="D3037" s="764">
        <v>200</v>
      </c>
      <c r="E3037" s="589">
        <v>261013.23</v>
      </c>
    </row>
    <row r="3038" spans="1:5" x14ac:dyDescent="0.2">
      <c r="A3038" s="781">
        <v>45890</v>
      </c>
      <c r="B3038" s="331">
        <f t="shared" si="63"/>
        <v>439457.80000000005</v>
      </c>
      <c r="C3038" s="782">
        <v>178244.57</v>
      </c>
      <c r="D3038" s="764">
        <v>200</v>
      </c>
      <c r="E3038" s="589">
        <v>261013.23</v>
      </c>
    </row>
    <row r="3039" spans="1:5" x14ac:dyDescent="0.2">
      <c r="A3039" s="781">
        <v>45890</v>
      </c>
      <c r="B3039" s="331">
        <f t="shared" si="63"/>
        <v>439224.1</v>
      </c>
      <c r="C3039" s="782">
        <v>178010.87</v>
      </c>
      <c r="D3039" s="764">
        <v>200</v>
      </c>
      <c r="E3039" s="589">
        <v>261013.23</v>
      </c>
    </row>
    <row r="3040" spans="1:5" x14ac:dyDescent="0.2">
      <c r="A3040" s="781">
        <v>45890</v>
      </c>
      <c r="B3040" s="331">
        <f t="shared" si="63"/>
        <v>438658.61</v>
      </c>
      <c r="C3040" s="782">
        <v>177445.38</v>
      </c>
      <c r="D3040" s="764">
        <v>200</v>
      </c>
      <c r="E3040" s="589">
        <v>261013.23</v>
      </c>
    </row>
    <row r="3041" spans="1:5" x14ac:dyDescent="0.2">
      <c r="A3041" s="781">
        <v>45890</v>
      </c>
      <c r="B3041" s="331">
        <f t="shared" si="63"/>
        <v>437511.81</v>
      </c>
      <c r="C3041" s="782">
        <v>176298.58</v>
      </c>
      <c r="D3041" s="764">
        <v>200</v>
      </c>
      <c r="E3041" s="589">
        <v>261013.23</v>
      </c>
    </row>
    <row r="3042" spans="1:5" x14ac:dyDescent="0.2">
      <c r="A3042" s="781">
        <v>45890</v>
      </c>
      <c r="B3042" s="331">
        <f t="shared" si="63"/>
        <v>437611.41000000003</v>
      </c>
      <c r="C3042" s="782">
        <v>176398.18</v>
      </c>
      <c r="D3042" s="764">
        <v>200</v>
      </c>
      <c r="E3042" s="589">
        <v>261013.23</v>
      </c>
    </row>
    <row r="3043" spans="1:5" x14ac:dyDescent="0.2">
      <c r="A3043" s="781">
        <v>45891</v>
      </c>
      <c r="B3043" s="331">
        <f t="shared" si="63"/>
        <v>437853.11</v>
      </c>
      <c r="C3043" s="782">
        <v>176639.88</v>
      </c>
      <c r="D3043" s="764">
        <v>200</v>
      </c>
      <c r="E3043" s="589">
        <v>261013.23</v>
      </c>
    </row>
    <row r="3044" spans="1:5" x14ac:dyDescent="0.2">
      <c r="A3044" s="781">
        <v>45894</v>
      </c>
      <c r="B3044" s="331">
        <f t="shared" si="63"/>
        <v>437288.11</v>
      </c>
      <c r="C3044" s="782">
        <v>176074.88</v>
      </c>
      <c r="D3044" s="764">
        <v>200</v>
      </c>
      <c r="E3044" s="589">
        <v>261013.23</v>
      </c>
    </row>
    <row r="3045" spans="1:5" x14ac:dyDescent="0.2">
      <c r="A3045" s="781">
        <v>45894</v>
      </c>
      <c r="B3045" s="331">
        <f t="shared" si="63"/>
        <v>437537.55000000005</v>
      </c>
      <c r="C3045" s="782">
        <v>176324.32</v>
      </c>
      <c r="D3045" s="764">
        <v>200</v>
      </c>
      <c r="E3045" s="589">
        <v>261013.23</v>
      </c>
    </row>
    <row r="3046" spans="1:5" x14ac:dyDescent="0.2">
      <c r="A3046" s="781">
        <v>45895</v>
      </c>
      <c r="B3046" s="331">
        <f t="shared" si="63"/>
        <v>437508.45</v>
      </c>
      <c r="C3046" s="782">
        <v>176295.22</v>
      </c>
      <c r="D3046" s="764">
        <v>200</v>
      </c>
      <c r="E3046" s="589">
        <v>261013.23</v>
      </c>
    </row>
    <row r="3047" spans="1:5" x14ac:dyDescent="0.2">
      <c r="A3047" s="781">
        <v>45895</v>
      </c>
      <c r="B3047" s="331">
        <f t="shared" si="63"/>
        <v>454393.36</v>
      </c>
      <c r="C3047" s="782">
        <v>193180.13</v>
      </c>
      <c r="D3047" s="764">
        <v>200</v>
      </c>
      <c r="E3047" s="589">
        <v>261013.23</v>
      </c>
    </row>
    <row r="3048" spans="1:5" x14ac:dyDescent="0.2">
      <c r="A3048" s="781">
        <v>45896</v>
      </c>
      <c r="B3048" s="331">
        <f t="shared" si="63"/>
        <v>454174.93000000005</v>
      </c>
      <c r="C3048" s="782">
        <v>192961.7</v>
      </c>
      <c r="D3048" s="764">
        <v>200</v>
      </c>
      <c r="E3048" s="589">
        <v>261013.23</v>
      </c>
    </row>
    <row r="3049" spans="1:5" x14ac:dyDescent="0.2">
      <c r="A3049" s="781">
        <v>45896</v>
      </c>
      <c r="B3049" s="331">
        <f t="shared" si="63"/>
        <v>455174.97</v>
      </c>
      <c r="C3049" s="782">
        <v>155116.74</v>
      </c>
      <c r="D3049" s="764">
        <v>39045</v>
      </c>
      <c r="E3049" s="589">
        <v>261013.23</v>
      </c>
    </row>
    <row r="3050" spans="1:5" x14ac:dyDescent="0.2">
      <c r="A3050" s="781">
        <v>45897</v>
      </c>
      <c r="B3050" s="331">
        <f t="shared" si="63"/>
        <v>454816.45</v>
      </c>
      <c r="C3050" s="782">
        <v>154758.22</v>
      </c>
      <c r="D3050" s="764">
        <v>39045</v>
      </c>
      <c r="E3050" s="589">
        <v>261013.23</v>
      </c>
    </row>
    <row r="3051" spans="1:5" x14ac:dyDescent="0.2">
      <c r="A3051" s="781">
        <v>45898</v>
      </c>
      <c r="B3051" s="331">
        <f t="shared" si="63"/>
        <v>454169.53</v>
      </c>
      <c r="C3051" s="782">
        <v>189686.3</v>
      </c>
      <c r="D3051" s="764">
        <v>3470</v>
      </c>
      <c r="E3051" s="589">
        <v>261013.23</v>
      </c>
    </row>
    <row r="3052" spans="1:5" x14ac:dyDescent="0.2">
      <c r="A3052" s="781">
        <v>45898</v>
      </c>
      <c r="B3052" s="331">
        <f t="shared" ref="B3052:B3053" si="64">C3052+D3052+E3052</f>
        <v>454169.53</v>
      </c>
      <c r="C3052" s="782">
        <v>189686.3</v>
      </c>
      <c r="D3052" s="764">
        <v>3470</v>
      </c>
      <c r="E3052" s="589">
        <v>261013.23</v>
      </c>
    </row>
    <row r="3053" spans="1:5" x14ac:dyDescent="0.2">
      <c r="A3053" s="781">
        <v>45900</v>
      </c>
      <c r="B3053" s="331">
        <f t="shared" si="64"/>
        <v>454169.53</v>
      </c>
      <c r="C3053" s="782">
        <v>189686.3</v>
      </c>
      <c r="D3053" s="764">
        <v>3470</v>
      </c>
      <c r="E3053" s="589">
        <v>261013.23</v>
      </c>
    </row>
    <row r="3054" spans="1:5" x14ac:dyDescent="0.2">
      <c r="D3054" s="764"/>
      <c r="E3054" s="589"/>
    </row>
    <row r="3055" spans="1:5" x14ac:dyDescent="0.2">
      <c r="D3055" s="764"/>
      <c r="E3055" s="589"/>
    </row>
    <row r="3056" spans="1:5" x14ac:dyDescent="0.2">
      <c r="D3056" s="764"/>
      <c r="E3056" s="589"/>
    </row>
    <row r="3057" spans="4:5" x14ac:dyDescent="0.2">
      <c r="D3057" s="764"/>
      <c r="E3057" s="589"/>
    </row>
    <row r="3058" spans="4:5" x14ac:dyDescent="0.2">
      <c r="D3058" s="764"/>
      <c r="E3058" s="589"/>
    </row>
    <row r="3059" spans="4:5" x14ac:dyDescent="0.2">
      <c r="D3059" s="764"/>
      <c r="E3059" s="589"/>
    </row>
    <row r="3060" spans="4:5" x14ac:dyDescent="0.2">
      <c r="D3060" s="764"/>
      <c r="E3060" s="589"/>
    </row>
    <row r="3061" spans="4:5" x14ac:dyDescent="0.2">
      <c r="D3061" s="764"/>
      <c r="E3061" s="589"/>
    </row>
    <row r="3062" spans="4:5" x14ac:dyDescent="0.2">
      <c r="D3062" s="764"/>
      <c r="E3062" s="589"/>
    </row>
    <row r="3063" spans="4:5" x14ac:dyDescent="0.2">
      <c r="D3063" s="764"/>
      <c r="E3063" s="589"/>
    </row>
    <row r="3064" spans="4:5" x14ac:dyDescent="0.2">
      <c r="D3064" s="764"/>
      <c r="E3064" s="589"/>
    </row>
    <row r="3065" spans="4:5" x14ac:dyDescent="0.2">
      <c r="D3065" s="764"/>
      <c r="E3065" s="589"/>
    </row>
    <row r="3066" spans="4:5" x14ac:dyDescent="0.2">
      <c r="D3066" s="764"/>
      <c r="E3066" s="589"/>
    </row>
    <row r="3067" spans="4:5" x14ac:dyDescent="0.2">
      <c r="D3067" s="764"/>
      <c r="E3067" s="589"/>
    </row>
    <row r="3068" spans="4:5" x14ac:dyDescent="0.2">
      <c r="D3068" s="764"/>
      <c r="E3068" s="589"/>
    </row>
    <row r="3069" spans="4:5" x14ac:dyDescent="0.2">
      <c r="D3069" s="764"/>
      <c r="E3069" s="589"/>
    </row>
    <row r="3070" spans="4:5" x14ac:dyDescent="0.2">
      <c r="D3070" s="764"/>
      <c r="E3070" s="589"/>
    </row>
    <row r="3071" spans="4:5" x14ac:dyDescent="0.2">
      <c r="D3071" s="764"/>
      <c r="E3071" s="589"/>
    </row>
    <row r="3072" spans="4:5" x14ac:dyDescent="0.2">
      <c r="D3072" s="764"/>
      <c r="E3072" s="589"/>
    </row>
    <row r="3073" spans="4:5" x14ac:dyDescent="0.2">
      <c r="D3073" s="764"/>
      <c r="E3073" s="589"/>
    </row>
    <row r="3074" spans="4:5" x14ac:dyDescent="0.2">
      <c r="D3074" s="764"/>
      <c r="E3074" s="589"/>
    </row>
    <row r="3075" spans="4:5" x14ac:dyDescent="0.2">
      <c r="D3075" s="764"/>
      <c r="E3075" s="589"/>
    </row>
    <row r="3076" spans="4:5" x14ac:dyDescent="0.2">
      <c r="D3076" s="764"/>
      <c r="E3076" s="589"/>
    </row>
    <row r="3077" spans="4:5" x14ac:dyDescent="0.2">
      <c r="D3077" s="764"/>
      <c r="E3077" s="589"/>
    </row>
    <row r="3078" spans="4:5" x14ac:dyDescent="0.2">
      <c r="D3078" s="764"/>
      <c r="E3078" s="589"/>
    </row>
    <row r="3079" spans="4:5" x14ac:dyDescent="0.2">
      <c r="D3079" s="764"/>
      <c r="E3079" s="589"/>
    </row>
    <row r="3080" spans="4:5" x14ac:dyDescent="0.2">
      <c r="D3080" s="764"/>
      <c r="E3080" s="589"/>
    </row>
    <row r="3081" spans="4:5" x14ac:dyDescent="0.2">
      <c r="D3081" s="764"/>
      <c r="E3081" s="589"/>
    </row>
    <row r="3082" spans="4:5" x14ac:dyDescent="0.2">
      <c r="D3082" s="764"/>
      <c r="E3082" s="589"/>
    </row>
    <row r="3083" spans="4:5" x14ac:dyDescent="0.2">
      <c r="D3083" s="764"/>
      <c r="E3083" s="589"/>
    </row>
    <row r="3084" spans="4:5" x14ac:dyDescent="0.2">
      <c r="D3084" s="764"/>
      <c r="E3084" s="589"/>
    </row>
    <row r="3085" spans="4:5" x14ac:dyDescent="0.2">
      <c r="D3085" s="764"/>
      <c r="E3085" s="589"/>
    </row>
    <row r="3086" spans="4:5" x14ac:dyDescent="0.2">
      <c r="D3086" s="764"/>
      <c r="E3086" s="589"/>
    </row>
    <row r="3087" spans="4:5" x14ac:dyDescent="0.2">
      <c r="D3087" s="764"/>
      <c r="E3087" s="589"/>
    </row>
    <row r="3088" spans="4:5" x14ac:dyDescent="0.2">
      <c r="D3088" s="764"/>
      <c r="E3088" s="589"/>
    </row>
    <row r="3089" spans="4:5" x14ac:dyDescent="0.2">
      <c r="D3089" s="764"/>
      <c r="E3089" s="589"/>
    </row>
    <row r="3090" spans="4:5" x14ac:dyDescent="0.2">
      <c r="D3090" s="764"/>
      <c r="E3090" s="589"/>
    </row>
    <row r="3091" spans="4:5" x14ac:dyDescent="0.2">
      <c r="D3091" s="764"/>
      <c r="E3091" s="589"/>
    </row>
    <row r="3092" spans="4:5" x14ac:dyDescent="0.2">
      <c r="D3092" s="764"/>
      <c r="E3092" s="589"/>
    </row>
    <row r="3093" spans="4:5" x14ac:dyDescent="0.2">
      <c r="D3093" s="764"/>
      <c r="E3093" s="589"/>
    </row>
    <row r="3094" spans="4:5" x14ac:dyDescent="0.2">
      <c r="D3094" s="764"/>
      <c r="E3094" s="589"/>
    </row>
    <row r="3095" spans="4:5" x14ac:dyDescent="0.2">
      <c r="D3095" s="764"/>
      <c r="E3095" s="589"/>
    </row>
    <row r="3096" spans="4:5" x14ac:dyDescent="0.2">
      <c r="D3096" s="764"/>
      <c r="E3096" s="589"/>
    </row>
    <row r="3097" spans="4:5" x14ac:dyDescent="0.2">
      <c r="D3097" s="764"/>
      <c r="E3097" s="589"/>
    </row>
    <row r="3098" spans="4:5" x14ac:dyDescent="0.2">
      <c r="D3098" s="764"/>
      <c r="E3098" s="589"/>
    </row>
    <row r="3099" spans="4:5" x14ac:dyDescent="0.2">
      <c r="D3099" s="764"/>
      <c r="E3099" s="589"/>
    </row>
    <row r="3100" spans="4:5" x14ac:dyDescent="0.2">
      <c r="D3100" s="764"/>
      <c r="E3100" s="589"/>
    </row>
    <row r="3101" spans="4:5" x14ac:dyDescent="0.2">
      <c r="D3101" s="764"/>
      <c r="E3101" s="589"/>
    </row>
    <row r="3102" spans="4:5" x14ac:dyDescent="0.2">
      <c r="D3102" s="764"/>
      <c r="E3102" s="589"/>
    </row>
    <row r="3103" spans="4:5" x14ac:dyDescent="0.2">
      <c r="D3103" s="764"/>
      <c r="E3103" s="589"/>
    </row>
    <row r="3104" spans="4:5" x14ac:dyDescent="0.2">
      <c r="D3104" s="764"/>
      <c r="E3104" s="589"/>
    </row>
    <row r="3105" spans="4:5" x14ac:dyDescent="0.2">
      <c r="D3105" s="764"/>
      <c r="E3105" s="589"/>
    </row>
    <row r="3106" spans="4:5" x14ac:dyDescent="0.2">
      <c r="D3106" s="764"/>
      <c r="E3106" s="589"/>
    </row>
    <row r="3107" spans="4:5" x14ac:dyDescent="0.2">
      <c r="D3107" s="764"/>
      <c r="E3107" s="589"/>
    </row>
    <row r="3108" spans="4:5" x14ac:dyDescent="0.2">
      <c r="D3108" s="764"/>
      <c r="E3108" s="589"/>
    </row>
    <row r="3109" spans="4:5" x14ac:dyDescent="0.2">
      <c r="D3109" s="764"/>
      <c r="E3109" s="589"/>
    </row>
    <row r="3110" spans="4:5" x14ac:dyDescent="0.2">
      <c r="D3110" s="764"/>
      <c r="E3110" s="589"/>
    </row>
    <row r="3111" spans="4:5" x14ac:dyDescent="0.2">
      <c r="D3111" s="764"/>
      <c r="E3111" s="589"/>
    </row>
    <row r="3112" spans="4:5" x14ac:dyDescent="0.2">
      <c r="D3112" s="764"/>
      <c r="E3112" s="589"/>
    </row>
    <row r="3113" spans="4:5" x14ac:dyDescent="0.2">
      <c r="D3113" s="764"/>
      <c r="E3113" s="589"/>
    </row>
    <row r="3114" spans="4:5" x14ac:dyDescent="0.2">
      <c r="D3114" s="764"/>
      <c r="E3114" s="589"/>
    </row>
    <row r="3115" spans="4:5" x14ac:dyDescent="0.2">
      <c r="D3115" s="764"/>
      <c r="E3115" s="589"/>
    </row>
    <row r="3116" spans="4:5" x14ac:dyDescent="0.2">
      <c r="D3116" s="764"/>
      <c r="E3116" s="589"/>
    </row>
    <row r="3117" spans="4:5" x14ac:dyDescent="0.2">
      <c r="D3117" s="764"/>
      <c r="E3117" s="589"/>
    </row>
    <row r="3118" spans="4:5" x14ac:dyDescent="0.2">
      <c r="D3118" s="764"/>
      <c r="E3118" s="589"/>
    </row>
    <row r="3119" spans="4:5" x14ac:dyDescent="0.2">
      <c r="D3119" s="764"/>
      <c r="E3119" s="589"/>
    </row>
    <row r="3120" spans="4:5" x14ac:dyDescent="0.2">
      <c r="D3120" s="764"/>
      <c r="E3120" s="589"/>
    </row>
    <row r="3121" spans="4:5" x14ac:dyDescent="0.2">
      <c r="D3121" s="764"/>
      <c r="E3121" s="589"/>
    </row>
    <row r="3122" spans="4:5" x14ac:dyDescent="0.2">
      <c r="D3122" s="764"/>
      <c r="E3122" s="589"/>
    </row>
    <row r="3123" spans="4:5" x14ac:dyDescent="0.2">
      <c r="D3123" s="764"/>
      <c r="E3123" s="589"/>
    </row>
    <row r="3124" spans="4:5" x14ac:dyDescent="0.2">
      <c r="D3124" s="764"/>
      <c r="E3124" s="589"/>
    </row>
    <row r="3125" spans="4:5" x14ac:dyDescent="0.2">
      <c r="D3125" s="764"/>
      <c r="E3125" s="589"/>
    </row>
    <row r="3126" spans="4:5" x14ac:dyDescent="0.2">
      <c r="D3126" s="764"/>
      <c r="E3126" s="589"/>
    </row>
    <row r="3127" spans="4:5" x14ac:dyDescent="0.2">
      <c r="D3127" s="764"/>
      <c r="E3127" s="589"/>
    </row>
    <row r="3128" spans="4:5" x14ac:dyDescent="0.2">
      <c r="D3128" s="764"/>
      <c r="E3128" s="589"/>
    </row>
    <row r="3129" spans="4:5" x14ac:dyDescent="0.2">
      <c r="D3129" s="764"/>
      <c r="E3129" s="589"/>
    </row>
    <row r="3130" spans="4:5" x14ac:dyDescent="0.2">
      <c r="D3130" s="764"/>
      <c r="E3130" s="589"/>
    </row>
    <row r="3131" spans="4:5" x14ac:dyDescent="0.2">
      <c r="D3131" s="764"/>
      <c r="E3131" s="589"/>
    </row>
    <row r="3132" spans="4:5" x14ac:dyDescent="0.2">
      <c r="D3132" s="764"/>
      <c r="E3132" s="589"/>
    </row>
    <row r="3133" spans="4:5" x14ac:dyDescent="0.2">
      <c r="D3133" s="764"/>
      <c r="E3133" s="589"/>
    </row>
    <row r="3134" spans="4:5" x14ac:dyDescent="0.2">
      <c r="D3134" s="764"/>
      <c r="E3134" s="589"/>
    </row>
    <row r="3135" spans="4:5" x14ac:dyDescent="0.2">
      <c r="D3135" s="764"/>
      <c r="E3135" s="589"/>
    </row>
    <row r="3136" spans="4:5" x14ac:dyDescent="0.2">
      <c r="D3136" s="764"/>
      <c r="E3136" s="589"/>
    </row>
    <row r="3137" spans="4:5" x14ac:dyDescent="0.2">
      <c r="D3137" s="764"/>
      <c r="E3137" s="589"/>
    </row>
    <row r="3138" spans="4:5" x14ac:dyDescent="0.2">
      <c r="D3138" s="764"/>
      <c r="E3138" s="589"/>
    </row>
    <row r="3139" spans="4:5" x14ac:dyDescent="0.2">
      <c r="D3139" s="764"/>
      <c r="E3139" s="589"/>
    </row>
    <row r="3140" spans="4:5" x14ac:dyDescent="0.2">
      <c r="D3140" s="764"/>
      <c r="E3140" s="589"/>
    </row>
    <row r="3141" spans="4:5" x14ac:dyDescent="0.2">
      <c r="D3141" s="764"/>
      <c r="E3141" s="589"/>
    </row>
    <row r="3142" spans="4:5" x14ac:dyDescent="0.2">
      <c r="D3142" s="764"/>
      <c r="E3142" s="589"/>
    </row>
    <row r="3143" spans="4:5" x14ac:dyDescent="0.2">
      <c r="D3143" s="764"/>
      <c r="E3143" s="589"/>
    </row>
    <row r="3144" spans="4:5" x14ac:dyDescent="0.2">
      <c r="D3144" s="764"/>
      <c r="E3144" s="589"/>
    </row>
    <row r="3145" spans="4:5" x14ac:dyDescent="0.2">
      <c r="D3145" s="764"/>
      <c r="E3145" s="589"/>
    </row>
    <row r="3146" spans="4:5" x14ac:dyDescent="0.2">
      <c r="D3146" s="764"/>
      <c r="E3146" s="589"/>
    </row>
    <row r="3147" spans="4:5" x14ac:dyDescent="0.2">
      <c r="D3147" s="764"/>
      <c r="E3147" s="589"/>
    </row>
    <row r="3148" spans="4:5" x14ac:dyDescent="0.2">
      <c r="D3148" s="764"/>
      <c r="E3148" s="589"/>
    </row>
    <row r="3149" spans="4:5" x14ac:dyDescent="0.2">
      <c r="D3149" s="764"/>
      <c r="E3149" s="589"/>
    </row>
    <row r="3150" spans="4:5" x14ac:dyDescent="0.2">
      <c r="D3150" s="764"/>
      <c r="E3150" s="589"/>
    </row>
    <row r="3151" spans="4:5" x14ac:dyDescent="0.2">
      <c r="D3151" s="764"/>
      <c r="E3151" s="589"/>
    </row>
    <row r="3152" spans="4:5" x14ac:dyDescent="0.2">
      <c r="D3152" s="764"/>
      <c r="E3152" s="589"/>
    </row>
    <row r="3153" spans="4:5" x14ac:dyDescent="0.2">
      <c r="D3153" s="764"/>
      <c r="E3153" s="589"/>
    </row>
    <row r="3154" spans="4:5" x14ac:dyDescent="0.2">
      <c r="D3154" s="764"/>
    </row>
    <row r="3155" spans="4:5" x14ac:dyDescent="0.2">
      <c r="D3155" s="764"/>
    </row>
    <row r="3156" spans="4:5" x14ac:dyDescent="0.2">
      <c r="D3156" s="76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topLeftCell="A31" workbookViewId="0">
      <selection activeCell="H53" sqref="H53"/>
    </sheetView>
  </sheetViews>
  <sheetFormatPr defaultRowHeight="14.25" x14ac:dyDescent="0.2"/>
  <cols>
    <col min="1" max="1" width="2.875" style="33" customWidth="1"/>
    <col min="2" max="2" width="8.125" style="33" customWidth="1"/>
    <col min="3" max="3" width="8.75" style="33" customWidth="1"/>
    <col min="4" max="4" width="5.75" style="33" customWidth="1"/>
    <col min="5" max="5" width="2.875" style="33" customWidth="1"/>
    <col min="6" max="6" width="45.625" style="33" customWidth="1"/>
    <col min="7" max="9" width="22.375" customWidth="1"/>
    <col min="10" max="10" width="1.75" customWidth="1"/>
    <col min="11" max="11" width="22.375" customWidth="1"/>
    <col min="12" max="12" width="15.25" bestFit="1" customWidth="1"/>
    <col min="13" max="13" width="10.625" customWidth="1"/>
    <col min="15" max="15" width="10" bestFit="1" customWidth="1"/>
    <col min="17" max="17" width="11.5" bestFit="1" customWidth="1"/>
    <col min="251" max="251" width="2.875" customWidth="1"/>
    <col min="252" max="252" width="8.125" customWidth="1"/>
    <col min="253" max="253" width="8.75" customWidth="1"/>
    <col min="254" max="254" width="11" customWidth="1"/>
    <col min="255" max="255" width="2.875" customWidth="1"/>
    <col min="256" max="256" width="77.625" customWidth="1"/>
    <col min="257" max="257" width="20.875" customWidth="1"/>
    <col min="507" max="507" width="2.875" customWidth="1"/>
    <col min="508" max="508" width="8.125" customWidth="1"/>
    <col min="509" max="509" width="8.75" customWidth="1"/>
    <col min="510" max="510" width="11" customWidth="1"/>
    <col min="511" max="511" width="2.875" customWidth="1"/>
    <col min="512" max="512" width="77.625" customWidth="1"/>
    <col min="513" max="513" width="20.875" customWidth="1"/>
    <col min="763" max="763" width="2.875" customWidth="1"/>
    <col min="764" max="764" width="8.125" customWidth="1"/>
    <col min="765" max="765" width="8.75" customWidth="1"/>
    <col min="766" max="766" width="11" customWidth="1"/>
    <col min="767" max="767" width="2.875" customWidth="1"/>
    <col min="768" max="768" width="77.625" customWidth="1"/>
    <col min="769" max="769" width="20.875" customWidth="1"/>
    <col min="1019" max="1019" width="2.875" customWidth="1"/>
    <col min="1020" max="1020" width="8.125" customWidth="1"/>
    <col min="1021" max="1021" width="8.75" customWidth="1"/>
    <col min="1022" max="1022" width="11" customWidth="1"/>
    <col min="1023" max="1023" width="2.875" customWidth="1"/>
    <col min="1024" max="1024" width="77.625" customWidth="1"/>
    <col min="1025" max="1025" width="20.875" customWidth="1"/>
    <col min="1275" max="1275" width="2.875" customWidth="1"/>
    <col min="1276" max="1276" width="8.125" customWidth="1"/>
    <col min="1277" max="1277" width="8.75" customWidth="1"/>
    <col min="1278" max="1278" width="11" customWidth="1"/>
    <col min="1279" max="1279" width="2.875" customWidth="1"/>
    <col min="1280" max="1280" width="77.625" customWidth="1"/>
    <col min="1281" max="1281" width="20.875" customWidth="1"/>
    <col min="1531" max="1531" width="2.875" customWidth="1"/>
    <col min="1532" max="1532" width="8.125" customWidth="1"/>
    <col min="1533" max="1533" width="8.75" customWidth="1"/>
    <col min="1534" max="1534" width="11" customWidth="1"/>
    <col min="1535" max="1535" width="2.875" customWidth="1"/>
    <col min="1536" max="1536" width="77.625" customWidth="1"/>
    <col min="1537" max="1537" width="20.875" customWidth="1"/>
    <col min="1787" max="1787" width="2.875" customWidth="1"/>
    <col min="1788" max="1788" width="8.125" customWidth="1"/>
    <col min="1789" max="1789" width="8.75" customWidth="1"/>
    <col min="1790" max="1790" width="11" customWidth="1"/>
    <col min="1791" max="1791" width="2.875" customWidth="1"/>
    <col min="1792" max="1792" width="77.625" customWidth="1"/>
    <col min="1793" max="1793" width="20.875" customWidth="1"/>
    <col min="2043" max="2043" width="2.875" customWidth="1"/>
    <col min="2044" max="2044" width="8.125" customWidth="1"/>
    <col min="2045" max="2045" width="8.75" customWidth="1"/>
    <col min="2046" max="2046" width="11" customWidth="1"/>
    <col min="2047" max="2047" width="2.875" customWidth="1"/>
    <col min="2048" max="2048" width="77.625" customWidth="1"/>
    <col min="2049" max="2049" width="20.875" customWidth="1"/>
    <col min="2299" max="2299" width="2.875" customWidth="1"/>
    <col min="2300" max="2300" width="8.125" customWidth="1"/>
    <col min="2301" max="2301" width="8.75" customWidth="1"/>
    <col min="2302" max="2302" width="11" customWidth="1"/>
    <col min="2303" max="2303" width="2.875" customWidth="1"/>
    <col min="2304" max="2304" width="77.625" customWidth="1"/>
    <col min="2305" max="2305" width="20.875" customWidth="1"/>
    <col min="2555" max="2555" width="2.875" customWidth="1"/>
    <col min="2556" max="2556" width="8.125" customWidth="1"/>
    <col min="2557" max="2557" width="8.75" customWidth="1"/>
    <col min="2558" max="2558" width="11" customWidth="1"/>
    <col min="2559" max="2559" width="2.875" customWidth="1"/>
    <col min="2560" max="2560" width="77.625" customWidth="1"/>
    <col min="2561" max="2561" width="20.875" customWidth="1"/>
    <col min="2811" max="2811" width="2.875" customWidth="1"/>
    <col min="2812" max="2812" width="8.125" customWidth="1"/>
    <col min="2813" max="2813" width="8.75" customWidth="1"/>
    <col min="2814" max="2814" width="11" customWidth="1"/>
    <col min="2815" max="2815" width="2.875" customWidth="1"/>
    <col min="2816" max="2816" width="77.625" customWidth="1"/>
    <col min="2817" max="2817" width="20.875" customWidth="1"/>
    <col min="3067" max="3067" width="2.875" customWidth="1"/>
    <col min="3068" max="3068" width="8.125" customWidth="1"/>
    <col min="3069" max="3069" width="8.75" customWidth="1"/>
    <col min="3070" max="3070" width="11" customWidth="1"/>
    <col min="3071" max="3071" width="2.875" customWidth="1"/>
    <col min="3072" max="3072" width="77.625" customWidth="1"/>
    <col min="3073" max="3073" width="20.875" customWidth="1"/>
    <col min="3323" max="3323" width="2.875" customWidth="1"/>
    <col min="3324" max="3324" width="8.125" customWidth="1"/>
    <col min="3325" max="3325" width="8.75" customWidth="1"/>
    <col min="3326" max="3326" width="11" customWidth="1"/>
    <col min="3327" max="3327" width="2.875" customWidth="1"/>
    <col min="3328" max="3328" width="77.625" customWidth="1"/>
    <col min="3329" max="3329" width="20.875" customWidth="1"/>
    <col min="3579" max="3579" width="2.875" customWidth="1"/>
    <col min="3580" max="3580" width="8.125" customWidth="1"/>
    <col min="3581" max="3581" width="8.75" customWidth="1"/>
    <col min="3582" max="3582" width="11" customWidth="1"/>
    <col min="3583" max="3583" width="2.875" customWidth="1"/>
    <col min="3584" max="3584" width="77.625" customWidth="1"/>
    <col min="3585" max="3585" width="20.875" customWidth="1"/>
    <col min="3835" max="3835" width="2.875" customWidth="1"/>
    <col min="3836" max="3836" width="8.125" customWidth="1"/>
    <col min="3837" max="3837" width="8.75" customWidth="1"/>
    <col min="3838" max="3838" width="11" customWidth="1"/>
    <col min="3839" max="3839" width="2.875" customWidth="1"/>
    <col min="3840" max="3840" width="77.625" customWidth="1"/>
    <col min="3841" max="3841" width="20.875" customWidth="1"/>
    <col min="4091" max="4091" width="2.875" customWidth="1"/>
    <col min="4092" max="4092" width="8.125" customWidth="1"/>
    <col min="4093" max="4093" width="8.75" customWidth="1"/>
    <col min="4094" max="4094" width="11" customWidth="1"/>
    <col min="4095" max="4095" width="2.875" customWidth="1"/>
    <col min="4096" max="4096" width="77.625" customWidth="1"/>
    <col min="4097" max="4097" width="20.875" customWidth="1"/>
    <col min="4347" max="4347" width="2.875" customWidth="1"/>
    <col min="4348" max="4348" width="8.125" customWidth="1"/>
    <col min="4349" max="4349" width="8.75" customWidth="1"/>
    <col min="4350" max="4350" width="11" customWidth="1"/>
    <col min="4351" max="4351" width="2.875" customWidth="1"/>
    <col min="4352" max="4352" width="77.625" customWidth="1"/>
    <col min="4353" max="4353" width="20.875" customWidth="1"/>
    <col min="4603" max="4603" width="2.875" customWidth="1"/>
    <col min="4604" max="4604" width="8.125" customWidth="1"/>
    <col min="4605" max="4605" width="8.75" customWidth="1"/>
    <col min="4606" max="4606" width="11" customWidth="1"/>
    <col min="4607" max="4607" width="2.875" customWidth="1"/>
    <col min="4608" max="4608" width="77.625" customWidth="1"/>
    <col min="4609" max="4609" width="20.875" customWidth="1"/>
    <col min="4859" max="4859" width="2.875" customWidth="1"/>
    <col min="4860" max="4860" width="8.125" customWidth="1"/>
    <col min="4861" max="4861" width="8.75" customWidth="1"/>
    <col min="4862" max="4862" width="11" customWidth="1"/>
    <col min="4863" max="4863" width="2.875" customWidth="1"/>
    <col min="4864" max="4864" width="77.625" customWidth="1"/>
    <col min="4865" max="4865" width="20.875" customWidth="1"/>
    <col min="5115" max="5115" width="2.875" customWidth="1"/>
    <col min="5116" max="5116" width="8.125" customWidth="1"/>
    <col min="5117" max="5117" width="8.75" customWidth="1"/>
    <col min="5118" max="5118" width="11" customWidth="1"/>
    <col min="5119" max="5119" width="2.875" customWidth="1"/>
    <col min="5120" max="5120" width="77.625" customWidth="1"/>
    <col min="5121" max="5121" width="20.875" customWidth="1"/>
    <col min="5371" max="5371" width="2.875" customWidth="1"/>
    <col min="5372" max="5372" width="8.125" customWidth="1"/>
    <col min="5373" max="5373" width="8.75" customWidth="1"/>
    <col min="5374" max="5374" width="11" customWidth="1"/>
    <col min="5375" max="5375" width="2.875" customWidth="1"/>
    <col min="5376" max="5376" width="77.625" customWidth="1"/>
    <col min="5377" max="5377" width="20.875" customWidth="1"/>
    <col min="5627" max="5627" width="2.875" customWidth="1"/>
    <col min="5628" max="5628" width="8.125" customWidth="1"/>
    <col min="5629" max="5629" width="8.75" customWidth="1"/>
    <col min="5630" max="5630" width="11" customWidth="1"/>
    <col min="5631" max="5631" width="2.875" customWidth="1"/>
    <col min="5632" max="5632" width="77.625" customWidth="1"/>
    <col min="5633" max="5633" width="20.875" customWidth="1"/>
    <col min="5883" max="5883" width="2.875" customWidth="1"/>
    <col min="5884" max="5884" width="8.125" customWidth="1"/>
    <col min="5885" max="5885" width="8.75" customWidth="1"/>
    <col min="5886" max="5886" width="11" customWidth="1"/>
    <col min="5887" max="5887" width="2.875" customWidth="1"/>
    <col min="5888" max="5888" width="77.625" customWidth="1"/>
    <col min="5889" max="5889" width="20.875" customWidth="1"/>
    <col min="6139" max="6139" width="2.875" customWidth="1"/>
    <col min="6140" max="6140" width="8.125" customWidth="1"/>
    <col min="6141" max="6141" width="8.75" customWidth="1"/>
    <col min="6142" max="6142" width="11" customWidth="1"/>
    <col min="6143" max="6143" width="2.875" customWidth="1"/>
    <col min="6144" max="6144" width="77.625" customWidth="1"/>
    <col min="6145" max="6145" width="20.875" customWidth="1"/>
    <col min="6395" max="6395" width="2.875" customWidth="1"/>
    <col min="6396" max="6396" width="8.125" customWidth="1"/>
    <col min="6397" max="6397" width="8.75" customWidth="1"/>
    <col min="6398" max="6398" width="11" customWidth="1"/>
    <col min="6399" max="6399" width="2.875" customWidth="1"/>
    <col min="6400" max="6400" width="77.625" customWidth="1"/>
    <col min="6401" max="6401" width="20.875" customWidth="1"/>
    <col min="6651" max="6651" width="2.875" customWidth="1"/>
    <col min="6652" max="6652" width="8.125" customWidth="1"/>
    <col min="6653" max="6653" width="8.75" customWidth="1"/>
    <col min="6654" max="6654" width="11" customWidth="1"/>
    <col min="6655" max="6655" width="2.875" customWidth="1"/>
    <col min="6656" max="6656" width="77.625" customWidth="1"/>
    <col min="6657" max="6657" width="20.875" customWidth="1"/>
    <col min="6907" max="6907" width="2.875" customWidth="1"/>
    <col min="6908" max="6908" width="8.125" customWidth="1"/>
    <col min="6909" max="6909" width="8.75" customWidth="1"/>
    <col min="6910" max="6910" width="11" customWidth="1"/>
    <col min="6911" max="6911" width="2.875" customWidth="1"/>
    <col min="6912" max="6912" width="77.625" customWidth="1"/>
    <col min="6913" max="6913" width="20.875" customWidth="1"/>
    <col min="7163" max="7163" width="2.875" customWidth="1"/>
    <col min="7164" max="7164" width="8.125" customWidth="1"/>
    <col min="7165" max="7165" width="8.75" customWidth="1"/>
    <col min="7166" max="7166" width="11" customWidth="1"/>
    <col min="7167" max="7167" width="2.875" customWidth="1"/>
    <col min="7168" max="7168" width="77.625" customWidth="1"/>
    <col min="7169" max="7169" width="20.875" customWidth="1"/>
    <col min="7419" max="7419" width="2.875" customWidth="1"/>
    <col min="7420" max="7420" width="8.125" customWidth="1"/>
    <col min="7421" max="7421" width="8.75" customWidth="1"/>
    <col min="7422" max="7422" width="11" customWidth="1"/>
    <col min="7423" max="7423" width="2.875" customWidth="1"/>
    <col min="7424" max="7424" width="77.625" customWidth="1"/>
    <col min="7425" max="7425" width="20.875" customWidth="1"/>
    <col min="7675" max="7675" width="2.875" customWidth="1"/>
    <col min="7676" max="7676" width="8.125" customWidth="1"/>
    <col min="7677" max="7677" width="8.75" customWidth="1"/>
    <col min="7678" max="7678" width="11" customWidth="1"/>
    <col min="7679" max="7679" width="2.875" customWidth="1"/>
    <col min="7680" max="7680" width="77.625" customWidth="1"/>
    <col min="7681" max="7681" width="20.875" customWidth="1"/>
    <col min="7931" max="7931" width="2.875" customWidth="1"/>
    <col min="7932" max="7932" width="8.125" customWidth="1"/>
    <col min="7933" max="7933" width="8.75" customWidth="1"/>
    <col min="7934" max="7934" width="11" customWidth="1"/>
    <col min="7935" max="7935" width="2.875" customWidth="1"/>
    <col min="7936" max="7936" width="77.625" customWidth="1"/>
    <col min="7937" max="7937" width="20.875" customWidth="1"/>
    <col min="8187" max="8187" width="2.875" customWidth="1"/>
    <col min="8188" max="8188" width="8.125" customWidth="1"/>
    <col min="8189" max="8189" width="8.75" customWidth="1"/>
    <col min="8190" max="8190" width="11" customWidth="1"/>
    <col min="8191" max="8191" width="2.875" customWidth="1"/>
    <col min="8192" max="8192" width="77.625" customWidth="1"/>
    <col min="8193" max="8193" width="20.875" customWidth="1"/>
    <col min="8443" max="8443" width="2.875" customWidth="1"/>
    <col min="8444" max="8444" width="8.125" customWidth="1"/>
    <col min="8445" max="8445" width="8.75" customWidth="1"/>
    <col min="8446" max="8446" width="11" customWidth="1"/>
    <col min="8447" max="8447" width="2.875" customWidth="1"/>
    <col min="8448" max="8448" width="77.625" customWidth="1"/>
    <col min="8449" max="8449" width="20.875" customWidth="1"/>
    <col min="8699" max="8699" width="2.875" customWidth="1"/>
    <col min="8700" max="8700" width="8.125" customWidth="1"/>
    <col min="8701" max="8701" width="8.75" customWidth="1"/>
    <col min="8702" max="8702" width="11" customWidth="1"/>
    <col min="8703" max="8703" width="2.875" customWidth="1"/>
    <col min="8704" max="8704" width="77.625" customWidth="1"/>
    <col min="8705" max="8705" width="20.875" customWidth="1"/>
    <col min="8955" max="8955" width="2.875" customWidth="1"/>
    <col min="8956" max="8956" width="8.125" customWidth="1"/>
    <col min="8957" max="8957" width="8.75" customWidth="1"/>
    <col min="8958" max="8958" width="11" customWidth="1"/>
    <col min="8959" max="8959" width="2.875" customWidth="1"/>
    <col min="8960" max="8960" width="77.625" customWidth="1"/>
    <col min="8961" max="8961" width="20.875" customWidth="1"/>
    <col min="9211" max="9211" width="2.875" customWidth="1"/>
    <col min="9212" max="9212" width="8.125" customWidth="1"/>
    <col min="9213" max="9213" width="8.75" customWidth="1"/>
    <col min="9214" max="9214" width="11" customWidth="1"/>
    <col min="9215" max="9215" width="2.875" customWidth="1"/>
    <col min="9216" max="9216" width="77.625" customWidth="1"/>
    <col min="9217" max="9217" width="20.875" customWidth="1"/>
    <col min="9467" max="9467" width="2.875" customWidth="1"/>
    <col min="9468" max="9468" width="8.125" customWidth="1"/>
    <col min="9469" max="9469" width="8.75" customWidth="1"/>
    <col min="9470" max="9470" width="11" customWidth="1"/>
    <col min="9471" max="9471" width="2.875" customWidth="1"/>
    <col min="9472" max="9472" width="77.625" customWidth="1"/>
    <col min="9473" max="9473" width="20.875" customWidth="1"/>
    <col min="9723" max="9723" width="2.875" customWidth="1"/>
    <col min="9724" max="9724" width="8.125" customWidth="1"/>
    <col min="9725" max="9725" width="8.75" customWidth="1"/>
    <col min="9726" max="9726" width="11" customWidth="1"/>
    <col min="9727" max="9727" width="2.875" customWidth="1"/>
    <col min="9728" max="9728" width="77.625" customWidth="1"/>
    <col min="9729" max="9729" width="20.875" customWidth="1"/>
    <col min="9979" max="9979" width="2.875" customWidth="1"/>
    <col min="9980" max="9980" width="8.125" customWidth="1"/>
    <col min="9981" max="9981" width="8.75" customWidth="1"/>
    <col min="9982" max="9982" width="11" customWidth="1"/>
    <col min="9983" max="9983" width="2.875" customWidth="1"/>
    <col min="9984" max="9984" width="77.625" customWidth="1"/>
    <col min="9985" max="9985" width="20.875" customWidth="1"/>
    <col min="10235" max="10235" width="2.875" customWidth="1"/>
    <col min="10236" max="10236" width="8.125" customWidth="1"/>
    <col min="10237" max="10237" width="8.75" customWidth="1"/>
    <col min="10238" max="10238" width="11" customWidth="1"/>
    <col min="10239" max="10239" width="2.875" customWidth="1"/>
    <col min="10240" max="10240" width="77.625" customWidth="1"/>
    <col min="10241" max="10241" width="20.875" customWidth="1"/>
    <col min="10491" max="10491" width="2.875" customWidth="1"/>
    <col min="10492" max="10492" width="8.125" customWidth="1"/>
    <col min="10493" max="10493" width="8.75" customWidth="1"/>
    <col min="10494" max="10494" width="11" customWidth="1"/>
    <col min="10495" max="10495" width="2.875" customWidth="1"/>
    <col min="10496" max="10496" width="77.625" customWidth="1"/>
    <col min="10497" max="10497" width="20.875" customWidth="1"/>
    <col min="10747" max="10747" width="2.875" customWidth="1"/>
    <col min="10748" max="10748" width="8.125" customWidth="1"/>
    <col min="10749" max="10749" width="8.75" customWidth="1"/>
    <col min="10750" max="10750" width="11" customWidth="1"/>
    <col min="10751" max="10751" width="2.875" customWidth="1"/>
    <col min="10752" max="10752" width="77.625" customWidth="1"/>
    <col min="10753" max="10753" width="20.875" customWidth="1"/>
    <col min="11003" max="11003" width="2.875" customWidth="1"/>
    <col min="11004" max="11004" width="8.125" customWidth="1"/>
    <col min="11005" max="11005" width="8.75" customWidth="1"/>
    <col min="11006" max="11006" width="11" customWidth="1"/>
    <col min="11007" max="11007" width="2.875" customWidth="1"/>
    <col min="11008" max="11008" width="77.625" customWidth="1"/>
    <col min="11009" max="11009" width="20.875" customWidth="1"/>
    <col min="11259" max="11259" width="2.875" customWidth="1"/>
    <col min="11260" max="11260" width="8.125" customWidth="1"/>
    <col min="11261" max="11261" width="8.75" customWidth="1"/>
    <col min="11262" max="11262" width="11" customWidth="1"/>
    <col min="11263" max="11263" width="2.875" customWidth="1"/>
    <col min="11264" max="11264" width="77.625" customWidth="1"/>
    <col min="11265" max="11265" width="20.875" customWidth="1"/>
    <col min="11515" max="11515" width="2.875" customWidth="1"/>
    <col min="11516" max="11516" width="8.125" customWidth="1"/>
    <col min="11517" max="11517" width="8.75" customWidth="1"/>
    <col min="11518" max="11518" width="11" customWidth="1"/>
    <col min="11519" max="11519" width="2.875" customWidth="1"/>
    <col min="11520" max="11520" width="77.625" customWidth="1"/>
    <col min="11521" max="11521" width="20.875" customWidth="1"/>
    <col min="11771" max="11771" width="2.875" customWidth="1"/>
    <col min="11772" max="11772" width="8.125" customWidth="1"/>
    <col min="11773" max="11773" width="8.75" customWidth="1"/>
    <col min="11774" max="11774" width="11" customWidth="1"/>
    <col min="11775" max="11775" width="2.875" customWidth="1"/>
    <col min="11776" max="11776" width="77.625" customWidth="1"/>
    <col min="11777" max="11777" width="20.875" customWidth="1"/>
    <col min="12027" max="12027" width="2.875" customWidth="1"/>
    <col min="12028" max="12028" width="8.125" customWidth="1"/>
    <col min="12029" max="12029" width="8.75" customWidth="1"/>
    <col min="12030" max="12030" width="11" customWidth="1"/>
    <col min="12031" max="12031" width="2.875" customWidth="1"/>
    <col min="12032" max="12032" width="77.625" customWidth="1"/>
    <col min="12033" max="12033" width="20.875" customWidth="1"/>
    <col min="12283" max="12283" width="2.875" customWidth="1"/>
    <col min="12284" max="12284" width="8.125" customWidth="1"/>
    <col min="12285" max="12285" width="8.75" customWidth="1"/>
    <col min="12286" max="12286" width="11" customWidth="1"/>
    <col min="12287" max="12287" width="2.875" customWidth="1"/>
    <col min="12288" max="12288" width="77.625" customWidth="1"/>
    <col min="12289" max="12289" width="20.875" customWidth="1"/>
    <col min="12539" max="12539" width="2.875" customWidth="1"/>
    <col min="12540" max="12540" width="8.125" customWidth="1"/>
    <col min="12541" max="12541" width="8.75" customWidth="1"/>
    <col min="12542" max="12542" width="11" customWidth="1"/>
    <col min="12543" max="12543" width="2.875" customWidth="1"/>
    <col min="12544" max="12544" width="77.625" customWidth="1"/>
    <col min="12545" max="12545" width="20.875" customWidth="1"/>
    <col min="12795" max="12795" width="2.875" customWidth="1"/>
    <col min="12796" max="12796" width="8.125" customWidth="1"/>
    <col min="12797" max="12797" width="8.75" customWidth="1"/>
    <col min="12798" max="12798" width="11" customWidth="1"/>
    <col min="12799" max="12799" width="2.875" customWidth="1"/>
    <col min="12800" max="12800" width="77.625" customWidth="1"/>
    <col min="12801" max="12801" width="20.875" customWidth="1"/>
    <col min="13051" max="13051" width="2.875" customWidth="1"/>
    <col min="13052" max="13052" width="8.125" customWidth="1"/>
    <col min="13053" max="13053" width="8.75" customWidth="1"/>
    <col min="13054" max="13054" width="11" customWidth="1"/>
    <col min="13055" max="13055" width="2.875" customWidth="1"/>
    <col min="13056" max="13056" width="77.625" customWidth="1"/>
    <col min="13057" max="13057" width="20.875" customWidth="1"/>
    <col min="13307" max="13307" width="2.875" customWidth="1"/>
    <col min="13308" max="13308" width="8.125" customWidth="1"/>
    <col min="13309" max="13309" width="8.75" customWidth="1"/>
    <col min="13310" max="13310" width="11" customWidth="1"/>
    <col min="13311" max="13311" width="2.875" customWidth="1"/>
    <col min="13312" max="13312" width="77.625" customWidth="1"/>
    <col min="13313" max="13313" width="20.875" customWidth="1"/>
    <col min="13563" max="13563" width="2.875" customWidth="1"/>
    <col min="13564" max="13564" width="8.125" customWidth="1"/>
    <col min="13565" max="13565" width="8.75" customWidth="1"/>
    <col min="13566" max="13566" width="11" customWidth="1"/>
    <col min="13567" max="13567" width="2.875" customWidth="1"/>
    <col min="13568" max="13568" width="77.625" customWidth="1"/>
    <col min="13569" max="13569" width="20.875" customWidth="1"/>
    <col min="13819" max="13819" width="2.875" customWidth="1"/>
    <col min="13820" max="13820" width="8.125" customWidth="1"/>
    <col min="13821" max="13821" width="8.75" customWidth="1"/>
    <col min="13822" max="13822" width="11" customWidth="1"/>
    <col min="13823" max="13823" width="2.875" customWidth="1"/>
    <col min="13824" max="13824" width="77.625" customWidth="1"/>
    <col min="13825" max="13825" width="20.875" customWidth="1"/>
    <col min="14075" max="14075" width="2.875" customWidth="1"/>
    <col min="14076" max="14076" width="8.125" customWidth="1"/>
    <col min="14077" max="14077" width="8.75" customWidth="1"/>
    <col min="14078" max="14078" width="11" customWidth="1"/>
    <col min="14079" max="14079" width="2.875" customWidth="1"/>
    <col min="14080" max="14080" width="77.625" customWidth="1"/>
    <col min="14081" max="14081" width="20.875" customWidth="1"/>
    <col min="14331" max="14331" width="2.875" customWidth="1"/>
    <col min="14332" max="14332" width="8.125" customWidth="1"/>
    <col min="14333" max="14333" width="8.75" customWidth="1"/>
    <col min="14334" max="14334" width="11" customWidth="1"/>
    <col min="14335" max="14335" width="2.875" customWidth="1"/>
    <col min="14336" max="14336" width="77.625" customWidth="1"/>
    <col min="14337" max="14337" width="20.875" customWidth="1"/>
    <col min="14587" max="14587" width="2.875" customWidth="1"/>
    <col min="14588" max="14588" width="8.125" customWidth="1"/>
    <col min="14589" max="14589" width="8.75" customWidth="1"/>
    <col min="14590" max="14590" width="11" customWidth="1"/>
    <col min="14591" max="14591" width="2.875" customWidth="1"/>
    <col min="14592" max="14592" width="77.625" customWidth="1"/>
    <col min="14593" max="14593" width="20.875" customWidth="1"/>
    <col min="14843" max="14843" width="2.875" customWidth="1"/>
    <col min="14844" max="14844" width="8.125" customWidth="1"/>
    <col min="14845" max="14845" width="8.75" customWidth="1"/>
    <col min="14846" max="14846" width="11" customWidth="1"/>
    <col min="14847" max="14847" width="2.875" customWidth="1"/>
    <col min="14848" max="14848" width="77.625" customWidth="1"/>
    <col min="14849" max="14849" width="20.875" customWidth="1"/>
    <col min="15099" max="15099" width="2.875" customWidth="1"/>
    <col min="15100" max="15100" width="8.125" customWidth="1"/>
    <col min="15101" max="15101" width="8.75" customWidth="1"/>
    <col min="15102" max="15102" width="11" customWidth="1"/>
    <col min="15103" max="15103" width="2.875" customWidth="1"/>
    <col min="15104" max="15104" width="77.625" customWidth="1"/>
    <col min="15105" max="15105" width="20.875" customWidth="1"/>
    <col min="15355" max="15355" width="2.875" customWidth="1"/>
    <col min="15356" max="15356" width="8.125" customWidth="1"/>
    <col min="15357" max="15357" width="8.75" customWidth="1"/>
    <col min="15358" max="15358" width="11" customWidth="1"/>
    <col min="15359" max="15359" width="2.875" customWidth="1"/>
    <col min="15360" max="15360" width="77.625" customWidth="1"/>
    <col min="15361" max="15361" width="20.875" customWidth="1"/>
    <col min="15611" max="15611" width="2.875" customWidth="1"/>
    <col min="15612" max="15612" width="8.125" customWidth="1"/>
    <col min="15613" max="15613" width="8.75" customWidth="1"/>
    <col min="15614" max="15614" width="11" customWidth="1"/>
    <col min="15615" max="15615" width="2.875" customWidth="1"/>
    <col min="15616" max="15616" width="77.625" customWidth="1"/>
    <col min="15617" max="15617" width="20.875" customWidth="1"/>
    <col min="15867" max="15867" width="2.875" customWidth="1"/>
    <col min="15868" max="15868" width="8.125" customWidth="1"/>
    <col min="15869" max="15869" width="8.75" customWidth="1"/>
    <col min="15870" max="15870" width="11" customWidth="1"/>
    <col min="15871" max="15871" width="2.875" customWidth="1"/>
    <col min="15872" max="15872" width="77.625" customWidth="1"/>
    <col min="15873" max="15873" width="20.875" customWidth="1"/>
    <col min="16123" max="16123" width="2.875" customWidth="1"/>
    <col min="16124" max="16124" width="8.125" customWidth="1"/>
    <col min="16125" max="16125" width="8.75" customWidth="1"/>
    <col min="16126" max="16126" width="11" customWidth="1"/>
    <col min="16127" max="16127" width="2.875" customWidth="1"/>
    <col min="16128" max="16128" width="77.625" customWidth="1"/>
    <col min="16129" max="16129" width="20.875" customWidth="1"/>
  </cols>
  <sheetData>
    <row r="1" spans="1:13" ht="22.5" customHeight="1" x14ac:dyDescent="0.4">
      <c r="A1" s="34" t="s">
        <v>0</v>
      </c>
      <c r="B1" s="35"/>
      <c r="C1" s="36"/>
      <c r="D1" s="36"/>
      <c r="E1" s="36"/>
      <c r="F1" s="35"/>
      <c r="G1" s="35"/>
      <c r="H1" s="35"/>
      <c r="I1" s="35"/>
      <c r="J1" s="35"/>
      <c r="K1" s="35"/>
      <c r="L1" s="35"/>
      <c r="M1" s="35"/>
    </row>
    <row r="2" spans="1:13" ht="22.5" customHeight="1" x14ac:dyDescent="0.4">
      <c r="A2" s="34" t="s">
        <v>1</v>
      </c>
      <c r="B2" s="35"/>
      <c r="C2" s="36"/>
      <c r="D2" s="36"/>
      <c r="E2" s="36"/>
      <c r="F2" s="35"/>
      <c r="G2" s="35"/>
      <c r="H2" s="35"/>
      <c r="I2" s="35"/>
      <c r="J2" s="35"/>
      <c r="K2" s="35"/>
      <c r="L2" s="35"/>
      <c r="M2" s="35"/>
    </row>
    <row r="3" spans="1:13" ht="22.5" customHeight="1" x14ac:dyDescent="0.4">
      <c r="A3" s="34" t="s">
        <v>352</v>
      </c>
      <c r="B3" s="35"/>
      <c r="C3" s="36"/>
      <c r="D3" s="36"/>
      <c r="E3" s="36"/>
      <c r="F3" s="35"/>
      <c r="G3" s="35"/>
      <c r="H3" s="35"/>
      <c r="I3" s="35"/>
      <c r="J3" s="35"/>
      <c r="K3" s="35"/>
      <c r="L3" s="35"/>
      <c r="M3" s="35"/>
    </row>
    <row r="4" spans="1:13" s="38" customFormat="1" ht="8.25" customHeight="1" thickBot="1" x14ac:dyDescent="0.25">
      <c r="A4" s="37"/>
      <c r="B4" s="37"/>
      <c r="C4" s="37"/>
      <c r="D4" s="37"/>
      <c r="E4" s="37"/>
      <c r="F4" s="37"/>
    </row>
    <row r="5" spans="1:13" s="41" customFormat="1" ht="24.75" customHeight="1" thickTop="1" thickBot="1" x14ac:dyDescent="0.25">
      <c r="A5" s="39" t="s">
        <v>3</v>
      </c>
      <c r="B5" s="39"/>
      <c r="C5" s="39"/>
      <c r="D5" s="39"/>
      <c r="E5" s="39"/>
      <c r="F5" s="39"/>
      <c r="G5" s="812" t="s">
        <v>4</v>
      </c>
      <c r="H5" s="812"/>
      <c r="I5" s="812"/>
      <c r="J5" s="812"/>
      <c r="K5" s="812"/>
      <c r="L5" s="275" t="s">
        <v>5</v>
      </c>
      <c r="M5" s="272" t="s">
        <v>6</v>
      </c>
    </row>
    <row r="6" spans="1:13" s="43" customFormat="1" ht="8.25" customHeight="1" thickTop="1" x14ac:dyDescent="0.2">
      <c r="A6" s="42"/>
      <c r="B6" s="42"/>
      <c r="C6" s="42"/>
      <c r="D6" s="42"/>
      <c r="E6" s="42"/>
      <c r="F6" s="42"/>
    </row>
    <row r="7" spans="1:13" s="43" customFormat="1" ht="75.75" customHeight="1" thickBot="1" x14ac:dyDescent="0.25">
      <c r="A7" s="42"/>
      <c r="B7" s="54" t="s">
        <v>7</v>
      </c>
      <c r="C7" s="54"/>
      <c r="D7" s="54"/>
      <c r="E7" s="54"/>
      <c r="F7" s="54"/>
      <c r="G7" s="476" t="s">
        <v>353</v>
      </c>
      <c r="H7" s="477" t="s">
        <v>354</v>
      </c>
      <c r="I7" s="477" t="s">
        <v>355</v>
      </c>
      <c r="J7" s="477"/>
      <c r="K7" s="476" t="s">
        <v>356</v>
      </c>
      <c r="L7" s="813" t="s">
        <v>12</v>
      </c>
      <c r="M7" s="813"/>
    </row>
    <row r="8" spans="1:13" s="43" customFormat="1" ht="20.25" x14ac:dyDescent="0.2">
      <c r="A8" s="42"/>
      <c r="B8" s="42"/>
      <c r="C8" s="46" t="s">
        <v>13</v>
      </c>
      <c r="D8" s="46"/>
      <c r="E8" s="46"/>
      <c r="F8" s="42"/>
      <c r="G8" s="159">
        <v>360098</v>
      </c>
      <c r="H8" s="159">
        <v>315760.04333000001</v>
      </c>
      <c r="I8" s="159">
        <v>675858.04333000001</v>
      </c>
      <c r="J8" s="159"/>
      <c r="K8" s="159">
        <v>811777</v>
      </c>
      <c r="L8" s="260">
        <v>-135918.95666999999</v>
      </c>
      <c r="M8" s="273">
        <v>-0.16743386012414738</v>
      </c>
    </row>
    <row r="9" spans="1:13" s="43" customFormat="1" ht="20.25" x14ac:dyDescent="0.2">
      <c r="A9" s="42"/>
      <c r="B9" s="42"/>
      <c r="C9" s="46" t="s">
        <v>14</v>
      </c>
      <c r="D9" s="46"/>
      <c r="E9" s="46"/>
      <c r="F9" s="42"/>
      <c r="G9" s="150">
        <v>41504</v>
      </c>
      <c r="H9" s="150">
        <v>25300</v>
      </c>
      <c r="I9" s="150">
        <v>66804</v>
      </c>
      <c r="J9" s="150"/>
      <c r="K9" s="150">
        <v>175000</v>
      </c>
      <c r="L9" s="334">
        <v>-108196</v>
      </c>
      <c r="M9" s="273">
        <v>-0.61826285714285711</v>
      </c>
    </row>
    <row r="10" spans="1:13" s="43" customFormat="1" ht="20.25" x14ac:dyDescent="0.2">
      <c r="A10" s="42"/>
      <c r="B10" s="42"/>
      <c r="C10" s="46" t="s">
        <v>15</v>
      </c>
      <c r="D10" s="46"/>
      <c r="E10" s="46"/>
      <c r="F10" s="42"/>
      <c r="G10" s="150">
        <v>14147</v>
      </c>
      <c r="H10" s="150">
        <v>24011.0864</v>
      </c>
      <c r="I10" s="150">
        <v>38158.0864</v>
      </c>
      <c r="J10" s="150"/>
      <c r="K10" s="150">
        <v>49619</v>
      </c>
      <c r="L10" s="334">
        <v>-11460.9136</v>
      </c>
      <c r="M10" s="273">
        <v>-0.23097832685060157</v>
      </c>
    </row>
    <row r="11" spans="1:13" s="43" customFormat="1" ht="20.25" x14ac:dyDescent="0.2">
      <c r="A11" s="42"/>
      <c r="B11" s="42"/>
      <c r="C11" s="46" t="s">
        <v>16</v>
      </c>
      <c r="D11" s="46"/>
      <c r="E11" s="46"/>
      <c r="F11" s="42"/>
      <c r="G11" s="150"/>
      <c r="H11" s="150"/>
      <c r="I11" s="150">
        <v>0</v>
      </c>
      <c r="J11" s="150"/>
      <c r="K11" s="150"/>
      <c r="L11" s="334"/>
      <c r="M11" s="273"/>
    </row>
    <row r="12" spans="1:13" s="43" customFormat="1" ht="20.25" x14ac:dyDescent="0.2">
      <c r="A12" s="42"/>
      <c r="B12" s="42"/>
      <c r="D12" s="46" t="s">
        <v>17</v>
      </c>
      <c r="E12" s="46"/>
      <c r="F12" s="42"/>
      <c r="G12" s="150">
        <v>103487</v>
      </c>
      <c r="H12" s="150">
        <v>87197.56</v>
      </c>
      <c r="I12" s="150">
        <v>190684.56</v>
      </c>
      <c r="J12" s="150"/>
      <c r="K12" s="150">
        <v>196175</v>
      </c>
      <c r="L12" s="334">
        <v>-5490.4400000000023</v>
      </c>
      <c r="M12" s="273">
        <v>-2.7987460175863399E-2</v>
      </c>
    </row>
    <row r="13" spans="1:13" s="43" customFormat="1" ht="20.25" x14ac:dyDescent="0.2">
      <c r="A13" s="42"/>
      <c r="B13" s="42"/>
      <c r="D13" s="46" t="s">
        <v>18</v>
      </c>
      <c r="E13" s="46"/>
      <c r="F13" s="42"/>
      <c r="G13" s="150">
        <v>9000</v>
      </c>
      <c r="H13" s="150">
        <v>9000</v>
      </c>
      <c r="I13" s="150">
        <v>18000</v>
      </c>
      <c r="J13" s="150"/>
      <c r="K13" s="150">
        <v>18000</v>
      </c>
      <c r="L13" s="334">
        <v>0</v>
      </c>
      <c r="M13" s="273">
        <v>0</v>
      </c>
    </row>
    <row r="14" spans="1:13" s="43" customFormat="1" ht="20.25" x14ac:dyDescent="0.2">
      <c r="A14" s="42"/>
      <c r="B14" s="42"/>
      <c r="C14" s="46"/>
      <c r="D14" s="46" t="s">
        <v>19</v>
      </c>
      <c r="E14" s="46"/>
      <c r="F14" s="42"/>
      <c r="G14" s="150">
        <v>48393</v>
      </c>
      <c r="H14" s="150">
        <v>58479.097600000001</v>
      </c>
      <c r="I14" s="150">
        <v>106872.09760000001</v>
      </c>
      <c r="J14" s="150"/>
      <c r="K14" s="150">
        <v>169400</v>
      </c>
      <c r="L14" s="334">
        <v>-62527.902399999992</v>
      </c>
      <c r="M14" s="273">
        <v>-0.36911394569067291</v>
      </c>
    </row>
    <row r="15" spans="1:13" s="43" customFormat="1" ht="20.25" x14ac:dyDescent="0.2">
      <c r="A15" s="42"/>
      <c r="B15" s="42"/>
      <c r="C15" s="46" t="s">
        <v>20</v>
      </c>
      <c r="D15" s="46"/>
      <c r="E15" s="46"/>
      <c r="F15" s="42"/>
      <c r="G15" s="150">
        <v>5140</v>
      </c>
      <c r="H15" s="150">
        <v>5045</v>
      </c>
      <c r="I15" s="150">
        <v>10185</v>
      </c>
      <c r="J15" s="150"/>
      <c r="K15" s="150">
        <v>17000</v>
      </c>
      <c r="L15" s="334">
        <v>-6815</v>
      </c>
      <c r="M15" s="273">
        <v>-0.40088235294117647</v>
      </c>
    </row>
    <row r="16" spans="1:13" s="43" customFormat="1" ht="20.25" x14ac:dyDescent="0.2">
      <c r="A16" s="42"/>
      <c r="B16" s="42"/>
      <c r="C16" s="46" t="s">
        <v>21</v>
      </c>
      <c r="D16" s="46"/>
      <c r="E16" s="46"/>
      <c r="F16" s="42"/>
      <c r="G16" s="150">
        <v>701</v>
      </c>
      <c r="H16" s="150">
        <v>592.29</v>
      </c>
      <c r="I16" s="150">
        <v>1293.29</v>
      </c>
      <c r="J16" s="150"/>
      <c r="K16" s="150">
        <v>1200</v>
      </c>
      <c r="L16" s="334">
        <v>93.289999999999964</v>
      </c>
      <c r="M16" s="273">
        <v>7.7741666666666639E-2</v>
      </c>
    </row>
    <row r="17" spans="2:13" s="43" customFormat="1" ht="20.25" x14ac:dyDescent="0.2">
      <c r="B17" s="42"/>
      <c r="C17" s="46" t="s">
        <v>22</v>
      </c>
      <c r="D17" s="46"/>
      <c r="E17" s="46"/>
      <c r="F17" s="42"/>
      <c r="G17" s="150">
        <v>2152</v>
      </c>
      <c r="H17" s="150">
        <v>1900</v>
      </c>
      <c r="I17" s="150">
        <v>4052</v>
      </c>
      <c r="J17" s="150"/>
      <c r="K17" s="150">
        <v>4200</v>
      </c>
      <c r="L17" s="334">
        <v>-148</v>
      </c>
      <c r="M17" s="273">
        <v>-3.5238095238095235E-2</v>
      </c>
    </row>
    <row r="18" spans="2:13" s="43" customFormat="1" ht="20.25" x14ac:dyDescent="0.2">
      <c r="B18" s="42"/>
      <c r="C18" s="46" t="s">
        <v>23</v>
      </c>
      <c r="D18" s="46"/>
      <c r="E18" s="46"/>
      <c r="F18" s="42"/>
      <c r="G18" s="150">
        <v>-2942</v>
      </c>
      <c r="H18" s="150">
        <v>0</v>
      </c>
      <c r="I18" s="150">
        <v>-2942</v>
      </c>
      <c r="J18" s="150"/>
      <c r="K18" s="150">
        <v>1500</v>
      </c>
      <c r="L18" s="334">
        <v>-4442</v>
      </c>
      <c r="M18" s="273">
        <v>-2.9613333333333332</v>
      </c>
    </row>
    <row r="19" spans="2:13" s="43" customFormat="1" ht="20.25" x14ac:dyDescent="0.2">
      <c r="B19" s="42"/>
      <c r="C19" s="46" t="s">
        <v>24</v>
      </c>
      <c r="D19" s="46"/>
      <c r="E19" s="46"/>
      <c r="F19" s="42"/>
      <c r="G19" s="150"/>
      <c r="H19" s="150"/>
      <c r="I19" s="150">
        <v>0</v>
      </c>
      <c r="J19" s="150"/>
      <c r="K19" s="150"/>
      <c r="L19" s="334">
        <v>0</v>
      </c>
      <c r="M19" s="273"/>
    </row>
    <row r="20" spans="2:13" s="43" customFormat="1" ht="20.25" x14ac:dyDescent="0.2">
      <c r="B20" s="42"/>
      <c r="C20" s="46"/>
      <c r="D20" s="46" t="s">
        <v>25</v>
      </c>
      <c r="E20" s="46"/>
      <c r="F20" s="42"/>
      <c r="G20" s="150">
        <v>15479.72</v>
      </c>
      <c r="H20" s="150">
        <v>16194.880000000001</v>
      </c>
      <c r="I20" s="150">
        <v>31674.6</v>
      </c>
      <c r="J20" s="150"/>
      <c r="K20" s="150">
        <v>29543</v>
      </c>
      <c r="L20" s="334">
        <v>2131.5999999999985</v>
      </c>
      <c r="M20" s="273">
        <v>7.2152455742477015E-2</v>
      </c>
    </row>
    <row r="21" spans="2:13" s="43" customFormat="1" ht="20.25" x14ac:dyDescent="0.2">
      <c r="B21" s="42"/>
      <c r="C21" s="46"/>
      <c r="D21" s="46" t="s">
        <v>357</v>
      </c>
      <c r="E21" s="46"/>
      <c r="F21" s="46"/>
      <c r="G21" s="150">
        <v>4073</v>
      </c>
      <c r="H21" s="150">
        <v>1960.0200000000002</v>
      </c>
      <c r="I21" s="150">
        <v>6033.02</v>
      </c>
      <c r="J21" s="150"/>
      <c r="K21" s="150">
        <v>5000</v>
      </c>
      <c r="L21" s="334">
        <v>1033.0200000000004</v>
      </c>
      <c r="M21" s="273">
        <v>0.20660400000000009</v>
      </c>
    </row>
    <row r="22" spans="2:13" s="43" customFormat="1" ht="20.25" x14ac:dyDescent="0.2">
      <c r="B22" s="42"/>
      <c r="C22" s="475"/>
      <c r="D22" s="46" t="s">
        <v>26</v>
      </c>
      <c r="E22" s="475"/>
      <c r="F22" s="475"/>
      <c r="G22" s="150">
        <v>25000</v>
      </c>
      <c r="H22" s="150">
        <v>25000</v>
      </c>
      <c r="I22" s="150">
        <v>50000</v>
      </c>
      <c r="J22" s="150"/>
      <c r="K22" s="150">
        <v>50000</v>
      </c>
      <c r="L22" s="334">
        <v>0</v>
      </c>
      <c r="M22" s="273">
        <v>0</v>
      </c>
    </row>
    <row r="23" spans="2:13" s="43" customFormat="1" ht="20.25" x14ac:dyDescent="0.2">
      <c r="B23" s="42"/>
      <c r="C23" s="475"/>
      <c r="D23" s="46" t="s">
        <v>358</v>
      </c>
      <c r="E23" s="475"/>
      <c r="F23" s="475"/>
      <c r="G23" s="150">
        <v>15000</v>
      </c>
      <c r="H23" s="150">
        <v>0</v>
      </c>
      <c r="I23" s="150">
        <v>15000</v>
      </c>
      <c r="J23" s="150"/>
      <c r="K23" s="150">
        <v>0</v>
      </c>
      <c r="L23" s="334">
        <v>15000</v>
      </c>
      <c r="M23" s="273"/>
    </row>
    <row r="24" spans="2:13" s="43" customFormat="1" ht="20.25" x14ac:dyDescent="0.2">
      <c r="B24" s="42"/>
      <c r="C24" s="475"/>
      <c r="D24" s="46" t="s">
        <v>359</v>
      </c>
      <c r="E24" s="475"/>
      <c r="F24" s="475"/>
      <c r="G24" s="150">
        <v>5488</v>
      </c>
      <c r="H24" s="150">
        <v>0</v>
      </c>
      <c r="I24" s="150">
        <v>5488</v>
      </c>
      <c r="J24" s="150"/>
      <c r="K24" s="150">
        <v>0</v>
      </c>
      <c r="L24" s="334">
        <v>5488</v>
      </c>
      <c r="M24" s="273"/>
    </row>
    <row r="25" spans="2:13" s="43" customFormat="1" ht="20.25" x14ac:dyDescent="0.2">
      <c r="B25" s="42"/>
      <c r="C25" s="46" t="s">
        <v>28</v>
      </c>
      <c r="D25" s="475"/>
      <c r="E25" s="475"/>
      <c r="F25" s="475"/>
      <c r="G25" s="150">
        <v>0</v>
      </c>
      <c r="H25" s="150">
        <v>0</v>
      </c>
      <c r="I25" s="150">
        <v>0</v>
      </c>
      <c r="J25" s="150"/>
      <c r="K25" s="150">
        <v>2000</v>
      </c>
      <c r="L25" s="334">
        <v>-2000</v>
      </c>
      <c r="M25" s="273">
        <v>-1</v>
      </c>
    </row>
    <row r="26" spans="2:13" s="43" customFormat="1" ht="20.25" x14ac:dyDescent="0.2">
      <c r="B26" s="42"/>
      <c r="C26" s="46" t="s">
        <v>29</v>
      </c>
      <c r="D26" s="475"/>
      <c r="E26" s="475"/>
      <c r="F26" s="475"/>
      <c r="G26" s="150">
        <v>23288</v>
      </c>
      <c r="H26" s="150">
        <v>23288</v>
      </c>
      <c r="I26" s="150">
        <v>46576</v>
      </c>
      <c r="J26" s="150"/>
      <c r="K26" s="150">
        <v>46576</v>
      </c>
      <c r="L26" s="334">
        <v>0</v>
      </c>
      <c r="M26" s="273">
        <v>0</v>
      </c>
    </row>
    <row r="27" spans="2:13" s="43" customFormat="1" ht="20.25" x14ac:dyDescent="0.2">
      <c r="B27" s="42"/>
      <c r="C27" s="46" t="s">
        <v>30</v>
      </c>
      <c r="D27" s="475"/>
      <c r="E27" s="475"/>
      <c r="F27" s="475"/>
      <c r="G27" s="150">
        <v>11328.2</v>
      </c>
      <c r="H27" s="150">
        <v>10450</v>
      </c>
      <c r="I27" s="150">
        <v>21778.2</v>
      </c>
      <c r="J27" s="150"/>
      <c r="K27" s="150">
        <v>3500</v>
      </c>
      <c r="L27" s="334">
        <v>18278.2</v>
      </c>
      <c r="M27" s="273">
        <v>5.2223428571428574</v>
      </c>
    </row>
    <row r="28" spans="2:13" s="43" customFormat="1" ht="20.25" x14ac:dyDescent="0.2">
      <c r="B28" s="42"/>
      <c r="C28" s="46" t="s">
        <v>16</v>
      </c>
      <c r="D28" s="475"/>
      <c r="E28" s="475"/>
      <c r="F28" s="475"/>
      <c r="G28" s="150">
        <v>9500</v>
      </c>
      <c r="H28" s="150">
        <v>9499.7799999999988</v>
      </c>
      <c r="I28" s="150">
        <v>18999.78</v>
      </c>
      <c r="J28" s="150"/>
      <c r="K28" s="150">
        <v>19000</v>
      </c>
      <c r="L28" s="334">
        <v>-0.22000000000116415</v>
      </c>
      <c r="M28" s="273">
        <v>-1.1578947368482324E-5</v>
      </c>
    </row>
    <row r="29" spans="2:13" s="43" customFormat="1" ht="20.25" x14ac:dyDescent="0.2">
      <c r="B29" s="42"/>
      <c r="C29" s="46" t="s">
        <v>31</v>
      </c>
      <c r="D29" s="475"/>
      <c r="E29" s="475"/>
      <c r="F29" s="475"/>
      <c r="G29" s="150">
        <v>26000</v>
      </c>
      <c r="H29" s="150">
        <v>20800.019999999997</v>
      </c>
      <c r="I29" s="150">
        <v>46800.02</v>
      </c>
      <c r="J29" s="150"/>
      <c r="K29" s="150">
        <v>53000</v>
      </c>
      <c r="L29" s="334">
        <v>-6199.9800000000032</v>
      </c>
      <c r="M29" s="273">
        <v>-0.11698075471698119</v>
      </c>
    </row>
    <row r="30" spans="2:13" s="43" customFormat="1" ht="20.25" x14ac:dyDescent="0.2">
      <c r="B30" s="42"/>
      <c r="C30" s="46" t="s">
        <v>32</v>
      </c>
      <c r="D30" s="475"/>
      <c r="E30" s="475"/>
      <c r="F30" s="475"/>
      <c r="G30" s="150">
        <v>5764.37</v>
      </c>
      <c r="H30" s="150">
        <v>5781</v>
      </c>
      <c r="I30" s="150">
        <v>11545.369999999999</v>
      </c>
      <c r="J30" s="150"/>
      <c r="K30" s="150">
        <v>16835</v>
      </c>
      <c r="L30" s="334">
        <v>-5289.630000000001</v>
      </c>
      <c r="M30" s="273">
        <v>-0.31420433620433624</v>
      </c>
    </row>
    <row r="31" spans="2:13" s="43" customFormat="1" ht="20.25" x14ac:dyDescent="0.2">
      <c r="B31" s="42"/>
      <c r="C31" s="46"/>
      <c r="D31" s="42" t="s">
        <v>33</v>
      </c>
      <c r="E31" s="46"/>
      <c r="F31" s="42"/>
      <c r="G31" s="158">
        <v>722601.28999999992</v>
      </c>
      <c r="H31" s="158">
        <v>640258.77733000007</v>
      </c>
      <c r="I31" s="158">
        <v>1362860.0673300002</v>
      </c>
      <c r="J31" s="158"/>
      <c r="K31" s="158">
        <v>1669325</v>
      </c>
      <c r="L31" s="481">
        <v>-306464.93267000001</v>
      </c>
      <c r="M31" s="482">
        <v>-0.18358613970916388</v>
      </c>
    </row>
    <row r="33" spans="2:13" s="43" customFormat="1" ht="21" thickBot="1" x14ac:dyDescent="0.25">
      <c r="B33" s="54" t="s">
        <v>34</v>
      </c>
      <c r="C33" s="54"/>
      <c r="D33" s="54"/>
      <c r="E33" s="54"/>
      <c r="F33" s="54"/>
      <c r="G33" s="150"/>
      <c r="H33" s="150"/>
      <c r="I33" s="150"/>
      <c r="J33" s="150"/>
    </row>
    <row r="34" spans="2:13" s="43" customFormat="1" ht="20.25" x14ac:dyDescent="0.2">
      <c r="B34" s="42"/>
      <c r="C34" s="46" t="s">
        <v>35</v>
      </c>
      <c r="D34" s="46"/>
      <c r="E34" s="46"/>
      <c r="F34" s="46"/>
      <c r="G34" s="150">
        <v>447013.99</v>
      </c>
      <c r="H34" s="150">
        <v>440623.07</v>
      </c>
      <c r="I34" s="150">
        <v>887637.06</v>
      </c>
      <c r="J34" s="150"/>
      <c r="K34" s="483">
        <v>1102996</v>
      </c>
      <c r="L34" s="334">
        <v>-215358.93999999994</v>
      </c>
      <c r="M34" s="287">
        <v>-0.19524906708637196</v>
      </c>
    </row>
    <row r="35" spans="2:13" s="43" customFormat="1" ht="20.25" x14ac:dyDescent="0.2">
      <c r="B35" s="42"/>
      <c r="C35" s="46" t="s">
        <v>36</v>
      </c>
      <c r="D35" s="46"/>
      <c r="E35" s="46"/>
      <c r="F35" s="46"/>
      <c r="G35" s="150">
        <v>102132.08</v>
      </c>
      <c r="H35" s="150">
        <v>85992.050000000017</v>
      </c>
      <c r="I35" s="150">
        <v>188124.13</v>
      </c>
      <c r="J35" s="150"/>
      <c r="K35" s="185">
        <v>224967</v>
      </c>
      <c r="L35" s="334">
        <v>-36842.869999999995</v>
      </c>
      <c r="M35" s="287">
        <v>-0.16377010850480292</v>
      </c>
    </row>
    <row r="36" spans="2:13" s="43" customFormat="1" ht="20.25" x14ac:dyDescent="0.2">
      <c r="B36" s="42"/>
      <c r="C36" s="46" t="s">
        <v>37</v>
      </c>
      <c r="D36" s="46"/>
      <c r="E36" s="46"/>
      <c r="F36" s="46"/>
      <c r="G36" s="150">
        <v>900</v>
      </c>
      <c r="H36" s="150">
        <v>900</v>
      </c>
      <c r="I36" s="150">
        <v>1800</v>
      </c>
      <c r="J36" s="150"/>
      <c r="K36" s="185">
        <v>1800</v>
      </c>
      <c r="L36" s="334">
        <v>0</v>
      </c>
      <c r="M36" s="287">
        <v>0</v>
      </c>
    </row>
    <row r="37" spans="2:13" s="43" customFormat="1" ht="20.25" x14ac:dyDescent="0.2">
      <c r="B37" s="42"/>
      <c r="C37" s="46" t="s">
        <v>38</v>
      </c>
      <c r="D37" s="46"/>
      <c r="E37" s="46"/>
      <c r="F37" s="46"/>
      <c r="G37" s="150">
        <v>23288</v>
      </c>
      <c r="H37" s="150">
        <v>23288</v>
      </c>
      <c r="I37" s="150">
        <v>46576</v>
      </c>
      <c r="J37" s="150"/>
      <c r="K37" s="185">
        <v>46576</v>
      </c>
      <c r="L37" s="334">
        <v>0</v>
      </c>
      <c r="M37" s="287">
        <v>0</v>
      </c>
    </row>
    <row r="38" spans="2:13" s="43" customFormat="1" ht="20.25" x14ac:dyDescent="0.2">
      <c r="B38" s="42"/>
      <c r="C38" s="46" t="s">
        <v>39</v>
      </c>
      <c r="D38" s="46"/>
      <c r="E38" s="46"/>
      <c r="F38" s="46"/>
      <c r="G38" s="150">
        <v>10831.87</v>
      </c>
      <c r="H38" s="150">
        <v>10418.370000000001</v>
      </c>
      <c r="I38" s="150">
        <v>21250.240000000002</v>
      </c>
      <c r="J38" s="150"/>
      <c r="K38" s="185">
        <v>19050</v>
      </c>
      <c r="L38" s="334">
        <v>2200.2400000000016</v>
      </c>
      <c r="M38" s="287">
        <v>0.11549816272965888</v>
      </c>
    </row>
    <row r="39" spans="2:13" s="43" customFormat="1" ht="20.25" x14ac:dyDescent="0.2">
      <c r="B39" s="42"/>
      <c r="C39" s="46" t="s">
        <v>40</v>
      </c>
      <c r="D39" s="46"/>
      <c r="E39" s="46"/>
      <c r="F39" s="46"/>
      <c r="G39" s="150">
        <v>1224.3499999999999</v>
      </c>
      <c r="H39" s="150">
        <v>1207.24</v>
      </c>
      <c r="I39" s="150">
        <v>2431.59</v>
      </c>
      <c r="J39" s="150"/>
      <c r="K39" s="185">
        <v>3377</v>
      </c>
      <c r="L39" s="334">
        <v>-945.40999999999985</v>
      </c>
      <c r="M39" s="287">
        <v>-0.27995558187740593</v>
      </c>
    </row>
    <row r="40" spans="2:13" s="43" customFormat="1" ht="20.25" x14ac:dyDescent="0.2">
      <c r="B40" s="42"/>
      <c r="C40" s="46" t="s">
        <v>41</v>
      </c>
      <c r="D40" s="46"/>
      <c r="E40" s="46"/>
      <c r="F40" s="46"/>
      <c r="G40" s="150">
        <v>1941.95</v>
      </c>
      <c r="H40" s="150">
        <v>1791.4500000000003</v>
      </c>
      <c r="I40" s="150">
        <v>3733.4000000000005</v>
      </c>
      <c r="J40" s="150"/>
      <c r="K40" s="185">
        <v>4254</v>
      </c>
      <c r="L40" s="334">
        <v>-520.59999999999945</v>
      </c>
      <c r="M40" s="287">
        <v>-0.12237893747061576</v>
      </c>
    </row>
    <row r="41" spans="2:13" s="43" customFormat="1" ht="20.25" x14ac:dyDescent="0.2">
      <c r="B41" s="42"/>
      <c r="C41" s="46" t="s">
        <v>42</v>
      </c>
      <c r="D41" s="46"/>
      <c r="E41" s="46"/>
      <c r="F41" s="46"/>
      <c r="G41" s="150">
        <v>525.84</v>
      </c>
      <c r="H41" s="150">
        <v>1029.27</v>
      </c>
      <c r="I41" s="150">
        <v>1555.1100000000001</v>
      </c>
      <c r="J41" s="150"/>
      <c r="K41" s="185">
        <v>12334</v>
      </c>
      <c r="L41" s="334">
        <v>-10778.89</v>
      </c>
      <c r="M41" s="287">
        <v>-0.8739168153072806</v>
      </c>
    </row>
    <row r="42" spans="2:13" s="43" customFormat="1" ht="20.25" x14ac:dyDescent="0.2">
      <c r="B42" s="42"/>
      <c r="C42" s="46" t="s">
        <v>43</v>
      </c>
      <c r="D42" s="46"/>
      <c r="E42" s="46"/>
      <c r="F42" s="46"/>
      <c r="G42" s="150">
        <v>18906.52</v>
      </c>
      <c r="H42" s="150">
        <v>15450</v>
      </c>
      <c r="I42" s="150">
        <v>34356.520000000004</v>
      </c>
      <c r="J42" s="150"/>
      <c r="K42" s="185">
        <v>38115</v>
      </c>
      <c r="L42" s="334">
        <v>-3758.4799999999959</v>
      </c>
      <c r="M42" s="287">
        <v>-9.8608946608946507E-2</v>
      </c>
    </row>
    <row r="43" spans="2:13" s="43" customFormat="1" ht="20.25" x14ac:dyDescent="0.2">
      <c r="B43" s="42"/>
      <c r="C43" s="46" t="s">
        <v>44</v>
      </c>
      <c r="D43" s="46"/>
      <c r="E43" s="46"/>
      <c r="F43" s="46"/>
      <c r="G43" s="150">
        <v>672.76</v>
      </c>
      <c r="H43" s="150">
        <v>828.07</v>
      </c>
      <c r="I43" s="150">
        <v>1500.83</v>
      </c>
      <c r="J43" s="150"/>
      <c r="K43" s="185">
        <v>5448</v>
      </c>
      <c r="L43" s="334">
        <v>-3947.17</v>
      </c>
      <c r="M43" s="287">
        <v>-0.72451725403817913</v>
      </c>
    </row>
    <row r="44" spans="2:13" s="43" customFormat="1" ht="20.25" x14ac:dyDescent="0.2">
      <c r="B44" s="42"/>
      <c r="C44" s="46" t="s">
        <v>45</v>
      </c>
      <c r="D44" s="46"/>
      <c r="E44" s="46"/>
      <c r="F44" s="46"/>
      <c r="G44" s="150">
        <v>419</v>
      </c>
      <c r="H44" s="150">
        <v>588.96333333333337</v>
      </c>
      <c r="I44" s="150">
        <v>1007.9633333333334</v>
      </c>
      <c r="J44" s="150"/>
      <c r="K44" s="185">
        <v>1262</v>
      </c>
      <c r="L44" s="334">
        <v>-254.03666666666663</v>
      </c>
      <c r="M44" s="287">
        <v>-0.20129688325409401</v>
      </c>
    </row>
    <row r="45" spans="2:13" s="43" customFormat="1" ht="20.25" x14ac:dyDescent="0.2">
      <c r="B45" s="42"/>
      <c r="C45" s="46" t="s">
        <v>46</v>
      </c>
      <c r="D45" s="46"/>
      <c r="E45" s="46"/>
      <c r="F45" s="46"/>
      <c r="G45" s="150">
        <v>7425</v>
      </c>
      <c r="H45" s="150">
        <v>2735</v>
      </c>
      <c r="I45" s="150">
        <v>10160</v>
      </c>
      <c r="J45" s="150"/>
      <c r="K45" s="185">
        <v>12600</v>
      </c>
      <c r="L45" s="334">
        <v>-2440</v>
      </c>
      <c r="M45" s="287">
        <v>-0.19365079365079366</v>
      </c>
    </row>
    <row r="46" spans="2:13" s="43" customFormat="1" ht="20.25" x14ac:dyDescent="0.2">
      <c r="B46" s="42"/>
      <c r="C46" s="814" t="s">
        <v>47</v>
      </c>
      <c r="D46" s="814"/>
      <c r="E46" s="814"/>
      <c r="F46" s="814"/>
      <c r="G46" s="150">
        <v>67</v>
      </c>
      <c r="H46" s="150">
        <v>0</v>
      </c>
      <c r="I46" s="150">
        <v>67</v>
      </c>
      <c r="J46" s="150"/>
      <c r="K46" s="185">
        <v>0</v>
      </c>
      <c r="L46" s="334">
        <v>67</v>
      </c>
      <c r="M46" s="287"/>
    </row>
    <row r="47" spans="2:13" s="43" customFormat="1" ht="20.25" x14ac:dyDescent="0.2">
      <c r="B47" s="42"/>
      <c r="C47" s="46" t="s">
        <v>48</v>
      </c>
      <c r="D47" s="46"/>
      <c r="E47" s="46"/>
      <c r="F47" s="46"/>
      <c r="G47" s="150">
        <v>9698.2999999999993</v>
      </c>
      <c r="H47" s="150">
        <v>6282.170000000001</v>
      </c>
      <c r="I47" s="150">
        <v>15980.470000000001</v>
      </c>
      <c r="J47" s="150"/>
      <c r="K47" s="185">
        <v>12425</v>
      </c>
      <c r="L47" s="334">
        <v>3555.4700000000012</v>
      </c>
      <c r="M47" s="287">
        <v>0.28615452716297796</v>
      </c>
    </row>
    <row r="48" spans="2:13" s="43" customFormat="1" ht="20.25" x14ac:dyDescent="0.2">
      <c r="B48" s="42"/>
      <c r="C48" s="46" t="s">
        <v>49</v>
      </c>
      <c r="D48" s="46"/>
      <c r="E48" s="46"/>
      <c r="F48" s="46"/>
      <c r="G48" s="150">
        <v>5409.5</v>
      </c>
      <c r="H48" s="150">
        <v>6493.7800000000007</v>
      </c>
      <c r="I48" s="150">
        <v>11903.28</v>
      </c>
      <c r="J48" s="150"/>
      <c r="K48" s="185">
        <v>11716</v>
      </c>
      <c r="L48" s="334">
        <v>187.28000000000065</v>
      </c>
      <c r="M48" s="287">
        <v>1.5984977808125696E-2</v>
      </c>
    </row>
    <row r="49" spans="2:13" s="43" customFormat="1" ht="20.25" x14ac:dyDescent="0.2">
      <c r="B49" s="42"/>
      <c r="C49" s="46" t="s">
        <v>50</v>
      </c>
      <c r="D49" s="46"/>
      <c r="E49" s="46"/>
      <c r="F49" s="46"/>
      <c r="G49" s="150">
        <v>733.4</v>
      </c>
      <c r="H49" s="150">
        <v>410</v>
      </c>
      <c r="I49" s="150">
        <v>1143.4000000000001</v>
      </c>
      <c r="J49" s="150"/>
      <c r="K49" s="185">
        <v>1280</v>
      </c>
      <c r="L49" s="334">
        <v>-136.59999999999991</v>
      </c>
      <c r="M49" s="287">
        <v>-0.10671874999999993</v>
      </c>
    </row>
    <row r="50" spans="2:13" s="43" customFormat="1" ht="20.25" x14ac:dyDescent="0.2">
      <c r="B50" s="42"/>
      <c r="C50" s="46" t="s">
        <v>51</v>
      </c>
      <c r="D50" s="46"/>
      <c r="E50" s="46"/>
      <c r="F50" s="46"/>
      <c r="G50" s="150">
        <v>540.31999999999994</v>
      </c>
      <c r="H50" s="150">
        <v>0</v>
      </c>
      <c r="I50" s="150">
        <v>540.31999999999994</v>
      </c>
      <c r="J50" s="150"/>
      <c r="K50" s="185">
        <v>10470</v>
      </c>
      <c r="L50" s="334">
        <v>-9929.68</v>
      </c>
      <c r="M50" s="287">
        <v>-0.94839350525310417</v>
      </c>
    </row>
    <row r="51" spans="2:13" s="43" customFormat="1" ht="20.25" customHeight="1" x14ac:dyDescent="0.2">
      <c r="B51" s="42"/>
      <c r="C51" s="46" t="s">
        <v>52</v>
      </c>
      <c r="D51" s="46"/>
      <c r="E51" s="46"/>
      <c r="F51" s="46"/>
      <c r="G51" s="150">
        <v>2381.4</v>
      </c>
      <c r="H51" s="150">
        <v>300</v>
      </c>
      <c r="I51" s="150">
        <v>2681.4</v>
      </c>
      <c r="J51" s="150"/>
      <c r="K51" s="185">
        <v>20850</v>
      </c>
      <c r="L51" s="334">
        <v>-18168.599999999999</v>
      </c>
      <c r="M51" s="287">
        <v>-0.87139568345323737</v>
      </c>
    </row>
    <row r="52" spans="2:13" s="43" customFormat="1" ht="20.25" x14ac:dyDescent="0.2">
      <c r="B52" s="46"/>
      <c r="C52" s="46" t="s">
        <v>53</v>
      </c>
      <c r="D52" s="46"/>
      <c r="E52" s="46"/>
      <c r="F52" s="46"/>
      <c r="G52" s="150">
        <v>23932</v>
      </c>
      <c r="H52" s="150">
        <v>4454</v>
      </c>
      <c r="I52" s="150">
        <v>28386</v>
      </c>
      <c r="J52" s="150"/>
      <c r="K52" s="185">
        <v>12937</v>
      </c>
      <c r="L52" s="334">
        <v>15449</v>
      </c>
      <c r="M52" s="287">
        <v>1.1941717554301616</v>
      </c>
    </row>
    <row r="53" spans="2:13" s="43" customFormat="1" ht="20.25" x14ac:dyDescent="0.2">
      <c r="B53" s="42"/>
      <c r="C53" s="46" t="s">
        <v>54</v>
      </c>
      <c r="D53" s="46"/>
      <c r="E53" s="46"/>
      <c r="F53" s="46"/>
      <c r="G53" s="150">
        <v>31384.95</v>
      </c>
      <c r="H53" s="150">
        <v>23455</v>
      </c>
      <c r="I53" s="150">
        <v>54839.95</v>
      </c>
      <c r="J53" s="150"/>
      <c r="K53" s="185">
        <v>60011</v>
      </c>
      <c r="L53" s="334">
        <v>-5171.0500000000029</v>
      </c>
      <c r="M53" s="287">
        <v>-8.6168369132325784E-2</v>
      </c>
    </row>
    <row r="54" spans="2:13" s="43" customFormat="1" ht="20.25" x14ac:dyDescent="0.2">
      <c r="B54" s="42"/>
      <c r="C54" s="46" t="s">
        <v>55</v>
      </c>
      <c r="D54" s="46"/>
      <c r="E54" s="46"/>
      <c r="F54" s="46"/>
      <c r="G54" s="150">
        <v>31753.16</v>
      </c>
      <c r="H54" s="150">
        <v>14675</v>
      </c>
      <c r="I54" s="150">
        <v>46428.160000000003</v>
      </c>
      <c r="J54" s="150"/>
      <c r="K54" s="185">
        <v>61119</v>
      </c>
      <c r="L54" s="334">
        <v>-14690.839999999997</v>
      </c>
      <c r="M54" s="287">
        <v>-0.2403645347600582</v>
      </c>
    </row>
    <row r="55" spans="2:13" s="43" customFormat="1" ht="21" thickBot="1" x14ac:dyDescent="0.25">
      <c r="B55" s="42"/>
      <c r="C55" s="46" t="s">
        <v>56</v>
      </c>
      <c r="D55" s="46"/>
      <c r="E55" s="46"/>
      <c r="F55" s="46"/>
      <c r="G55" s="157">
        <v>297</v>
      </c>
      <c r="H55" s="152">
        <v>990</v>
      </c>
      <c r="I55" s="152">
        <v>1287</v>
      </c>
      <c r="J55" s="152"/>
      <c r="K55" s="484">
        <v>0</v>
      </c>
      <c r="L55" s="337">
        <v>1287</v>
      </c>
      <c r="M55" s="336"/>
    </row>
    <row r="56" spans="2:13" s="43" customFormat="1" ht="20.25" x14ac:dyDescent="0.2">
      <c r="B56" s="46"/>
      <c r="C56" s="42"/>
      <c r="D56" s="42"/>
      <c r="G56" s="150">
        <v>721478.3899999999</v>
      </c>
      <c r="H56" s="150">
        <v>641911.43333333335</v>
      </c>
      <c r="I56" s="150">
        <v>1363389.8233333332</v>
      </c>
      <c r="J56" s="150"/>
      <c r="K56" s="150">
        <v>1663587</v>
      </c>
      <c r="L56" s="150">
        <v>-300197.17666666652</v>
      </c>
      <c r="M56" s="482">
        <v>-0.18045174473391926</v>
      </c>
    </row>
    <row r="57" spans="2:13" s="43" customFormat="1" ht="8.25" customHeight="1" x14ac:dyDescent="0.2">
      <c r="B57" s="46"/>
      <c r="C57" s="42"/>
      <c r="D57" s="42"/>
      <c r="G57" s="150"/>
      <c r="H57" s="150"/>
      <c r="I57" s="150"/>
      <c r="J57" s="150"/>
      <c r="K57" s="150"/>
    </row>
    <row r="58" spans="2:13" s="43" customFormat="1" ht="20.25" x14ac:dyDescent="0.2">
      <c r="B58" s="46"/>
      <c r="C58" s="485" t="s">
        <v>57</v>
      </c>
      <c r="D58"/>
      <c r="E58" s="42"/>
      <c r="F58" s="42"/>
      <c r="G58" s="158">
        <v>1122.9000000000233</v>
      </c>
      <c r="H58" s="158">
        <v>-1652.6560033332789</v>
      </c>
      <c r="I58" s="158">
        <v>-529.75600333325565</v>
      </c>
      <c r="J58" s="150"/>
      <c r="K58" s="158">
        <v>5738</v>
      </c>
      <c r="L58" s="486">
        <v>-6267.7560033332556</v>
      </c>
      <c r="M58" s="482">
        <v>-1.0923241553386642</v>
      </c>
    </row>
    <row r="59" spans="2:13" s="43" customFormat="1" ht="9" customHeight="1" x14ac:dyDescent="0.2">
      <c r="B59" s="46"/>
      <c r="C59" s="46"/>
      <c r="D59" s="46"/>
      <c r="E59" s="46"/>
      <c r="F59" s="46"/>
      <c r="G59" s="150"/>
      <c r="H59" s="150"/>
      <c r="I59" s="150"/>
      <c r="J59" s="150"/>
      <c r="K59" s="150"/>
    </row>
    <row r="60" spans="2:13" s="43" customFormat="1" ht="20.25" x14ac:dyDescent="0.2">
      <c r="B60" s="46"/>
      <c r="C60" s="46" t="s">
        <v>58</v>
      </c>
      <c r="D60" s="46"/>
      <c r="F60" s="46"/>
      <c r="G60" s="150">
        <v>19500</v>
      </c>
      <c r="H60" s="150">
        <v>19720</v>
      </c>
      <c r="I60" s="150">
        <v>39220</v>
      </c>
      <c r="J60" s="150"/>
      <c r="K60" s="150">
        <v>39797</v>
      </c>
    </row>
    <row r="61" spans="2:13" s="43" customFormat="1" ht="9" customHeight="1" x14ac:dyDescent="0.2">
      <c r="B61" s="46"/>
      <c r="C61" s="46"/>
      <c r="D61" s="46"/>
      <c r="E61" s="46"/>
      <c r="F61" s="46"/>
      <c r="G61" s="150"/>
      <c r="H61" s="150"/>
      <c r="I61" s="150"/>
      <c r="J61" s="150"/>
      <c r="K61" s="150"/>
    </row>
    <row r="62" spans="2:13" s="43" customFormat="1" ht="21" thickBot="1" x14ac:dyDescent="0.25">
      <c r="B62" s="42"/>
      <c r="C62" s="485" t="s">
        <v>59</v>
      </c>
      <c r="D62"/>
      <c r="E62"/>
      <c r="F62"/>
      <c r="G62" s="487">
        <v>-18377.099999999977</v>
      </c>
      <c r="H62" s="487">
        <v>-21372.656003333279</v>
      </c>
      <c r="I62" s="487">
        <v>-39749.756003333256</v>
      </c>
      <c r="J62" s="153"/>
      <c r="K62" s="487">
        <v>-34059</v>
      </c>
    </row>
    <row r="63" spans="2:13" s="43" customFormat="1" ht="21" thickTop="1" x14ac:dyDescent="0.2">
      <c r="B63" s="42"/>
      <c r="C63" s="42"/>
      <c r="D63" s="42"/>
      <c r="E63" s="42"/>
      <c r="F63" s="42"/>
      <c r="G63" s="153"/>
      <c r="H63" s="153"/>
      <c r="I63" s="153"/>
      <c r="J63" s="153"/>
      <c r="K63" s="153"/>
    </row>
    <row r="64" spans="2:13" s="43" customFormat="1" ht="23.25" x14ac:dyDescent="0.2">
      <c r="B64" s="178"/>
      <c r="C64" s="42"/>
      <c r="D64" s="42"/>
      <c r="E64" s="42"/>
      <c r="F64" s="42" t="s">
        <v>60</v>
      </c>
      <c r="G64" s="150"/>
      <c r="H64" s="150"/>
      <c r="I64" s="150"/>
      <c r="J64" s="150"/>
      <c r="K64" s="150"/>
    </row>
    <row r="65" spans="6:6" s="43" customFormat="1" ht="18" x14ac:dyDescent="0.2">
      <c r="F65" s="488" t="s">
        <v>360</v>
      </c>
    </row>
    <row r="66" spans="6:6" s="43" customFormat="1" ht="18" x14ac:dyDescent="0.2">
      <c r="F66" s="488" t="s">
        <v>361</v>
      </c>
    </row>
    <row r="67" spans="6:6" s="43" customFormat="1" ht="18" x14ac:dyDescent="0.2">
      <c r="F67" s="488" t="s">
        <v>362</v>
      </c>
    </row>
    <row r="68" spans="6:6" s="43" customFormat="1" ht="18" x14ac:dyDescent="0.2">
      <c r="F68" s="488" t="s">
        <v>363</v>
      </c>
    </row>
    <row r="69" spans="6:6" s="43" customFormat="1" ht="18" x14ac:dyDescent="0.2">
      <c r="F69" s="488" t="s">
        <v>364</v>
      </c>
    </row>
    <row r="70" spans="6:6" s="50" customFormat="1" ht="26.25" x14ac:dyDescent="0.2">
      <c r="F70" s="488" t="s">
        <v>365</v>
      </c>
    </row>
  </sheetData>
  <mergeCells count="3">
    <mergeCell ref="G5:K5"/>
    <mergeCell ref="L7:M7"/>
    <mergeCell ref="C46:F4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DA2F-B486-4942-9DC0-6FEACD5D8561}">
  <sheetPr>
    <pageSetUpPr fitToPage="1"/>
  </sheetPr>
  <dimension ref="A1:CA198"/>
  <sheetViews>
    <sheetView topLeftCell="A20" zoomScale="70" zoomScaleNormal="70" workbookViewId="0">
      <selection activeCell="H16" sqref="H16"/>
    </sheetView>
  </sheetViews>
  <sheetFormatPr defaultRowHeight="18" x14ac:dyDescent="0.25"/>
  <cols>
    <col min="1" max="1" width="2.75" customWidth="1"/>
    <col min="2" max="2" width="5" style="33" customWidth="1"/>
    <col min="3" max="3" width="75.625" style="33" customWidth="1"/>
    <col min="4" max="6" width="17.125" style="76" customWidth="1"/>
    <col min="7" max="7" width="18.75" style="76" customWidth="1"/>
    <col min="8" max="8" width="16.875" style="413" customWidth="1"/>
    <col min="9" max="9" width="15.625" style="751" customWidth="1"/>
    <col min="10" max="10" width="19.25" style="19" hidden="1" customWidth="1"/>
    <col min="11" max="11" width="12.625" customWidth="1"/>
    <col min="252" max="252" width="2.875" customWidth="1"/>
    <col min="253" max="253" width="49" customWidth="1"/>
    <col min="254" max="254" width="16.875" bestFit="1" customWidth="1"/>
    <col min="255" max="255" width="13.625" bestFit="1" customWidth="1"/>
    <col min="256" max="256" width="15.375" bestFit="1" customWidth="1"/>
    <col min="257" max="257" width="7.5" bestFit="1" customWidth="1"/>
    <col min="258" max="258" width="15.25" customWidth="1"/>
    <col min="259" max="259" width="7.5" bestFit="1" customWidth="1"/>
    <col min="260" max="260" width="15.375" bestFit="1" customWidth="1"/>
    <col min="261" max="261" width="7.5" bestFit="1" customWidth="1"/>
    <col min="262" max="262" width="15.375" bestFit="1" customWidth="1"/>
    <col min="263" max="263" width="7.5" bestFit="1" customWidth="1"/>
    <col min="264" max="264" width="16.875" bestFit="1" customWidth="1"/>
    <col min="508" max="508" width="2.875" customWidth="1"/>
    <col min="509" max="509" width="49" customWidth="1"/>
    <col min="510" max="510" width="16.875" bestFit="1" customWidth="1"/>
    <col min="511" max="511" width="13.625" bestFit="1" customWidth="1"/>
    <col min="512" max="512" width="15.375" bestFit="1" customWidth="1"/>
    <col min="513" max="513" width="7.5" bestFit="1" customWidth="1"/>
    <col min="514" max="514" width="15.25" customWidth="1"/>
    <col min="515" max="515" width="7.5" bestFit="1" customWidth="1"/>
    <col min="516" max="516" width="15.375" bestFit="1" customWidth="1"/>
    <col min="517" max="517" width="7.5" bestFit="1" customWidth="1"/>
    <col min="518" max="518" width="15.375" bestFit="1" customWidth="1"/>
    <col min="519" max="519" width="7.5" bestFit="1" customWidth="1"/>
    <col min="520" max="520" width="16.875" bestFit="1" customWidth="1"/>
    <col min="764" max="764" width="2.875" customWidth="1"/>
    <col min="765" max="765" width="49" customWidth="1"/>
    <col min="766" max="766" width="16.875" bestFit="1" customWidth="1"/>
    <col min="767" max="767" width="13.625" bestFit="1" customWidth="1"/>
    <col min="768" max="768" width="15.375" bestFit="1" customWidth="1"/>
    <col min="769" max="769" width="7.5" bestFit="1" customWidth="1"/>
    <col min="770" max="770" width="15.25" customWidth="1"/>
    <col min="771" max="771" width="7.5" bestFit="1" customWidth="1"/>
    <col min="772" max="772" width="15.375" bestFit="1" customWidth="1"/>
    <col min="773" max="773" width="7.5" bestFit="1" customWidth="1"/>
    <col min="774" max="774" width="15.375" bestFit="1" customWidth="1"/>
    <col min="775" max="775" width="7.5" bestFit="1" customWidth="1"/>
    <col min="776" max="776" width="16.875" bestFit="1" customWidth="1"/>
    <col min="1020" max="1020" width="2.875" customWidth="1"/>
    <col min="1021" max="1021" width="49" customWidth="1"/>
    <col min="1022" max="1022" width="16.875" bestFit="1" customWidth="1"/>
    <col min="1023" max="1023" width="13.625" bestFit="1" customWidth="1"/>
    <col min="1024" max="1024" width="15.375" bestFit="1" customWidth="1"/>
    <col min="1025" max="1025" width="7.5" bestFit="1" customWidth="1"/>
    <col min="1026" max="1026" width="15.25" customWidth="1"/>
    <col min="1027" max="1027" width="7.5" bestFit="1" customWidth="1"/>
    <col min="1028" max="1028" width="15.375" bestFit="1" customWidth="1"/>
    <col min="1029" max="1029" width="7.5" bestFit="1" customWidth="1"/>
    <col min="1030" max="1030" width="15.375" bestFit="1" customWidth="1"/>
    <col min="1031" max="1031" width="7.5" bestFit="1" customWidth="1"/>
    <col min="1032" max="1032" width="16.875" bestFit="1" customWidth="1"/>
    <col min="1276" max="1276" width="2.875" customWidth="1"/>
    <col min="1277" max="1277" width="49" customWidth="1"/>
    <col min="1278" max="1278" width="16.875" bestFit="1" customWidth="1"/>
    <col min="1279" max="1279" width="13.625" bestFit="1" customWidth="1"/>
    <col min="1280" max="1280" width="15.375" bestFit="1" customWidth="1"/>
    <col min="1281" max="1281" width="7.5" bestFit="1" customWidth="1"/>
    <col min="1282" max="1282" width="15.25" customWidth="1"/>
    <col min="1283" max="1283" width="7.5" bestFit="1" customWidth="1"/>
    <col min="1284" max="1284" width="15.375" bestFit="1" customWidth="1"/>
    <col min="1285" max="1285" width="7.5" bestFit="1" customWidth="1"/>
    <col min="1286" max="1286" width="15.375" bestFit="1" customWidth="1"/>
    <col min="1287" max="1287" width="7.5" bestFit="1" customWidth="1"/>
    <col min="1288" max="1288" width="16.875" bestFit="1" customWidth="1"/>
    <col min="1532" max="1532" width="2.875" customWidth="1"/>
    <col min="1533" max="1533" width="49" customWidth="1"/>
    <col min="1534" max="1534" width="16.875" bestFit="1" customWidth="1"/>
    <col min="1535" max="1535" width="13.625" bestFit="1" customWidth="1"/>
    <col min="1536" max="1536" width="15.375" bestFit="1" customWidth="1"/>
    <col min="1537" max="1537" width="7.5" bestFit="1" customWidth="1"/>
    <col min="1538" max="1538" width="15.25" customWidth="1"/>
    <col min="1539" max="1539" width="7.5" bestFit="1" customWidth="1"/>
    <col min="1540" max="1540" width="15.375" bestFit="1" customWidth="1"/>
    <col min="1541" max="1541" width="7.5" bestFit="1" customWidth="1"/>
    <col min="1542" max="1542" width="15.375" bestFit="1" customWidth="1"/>
    <col min="1543" max="1543" width="7.5" bestFit="1" customWidth="1"/>
    <col min="1544" max="1544" width="16.875" bestFit="1" customWidth="1"/>
    <col min="1788" max="1788" width="2.875" customWidth="1"/>
    <col min="1789" max="1789" width="49" customWidth="1"/>
    <col min="1790" max="1790" width="16.875" bestFit="1" customWidth="1"/>
    <col min="1791" max="1791" width="13.625" bestFit="1" customWidth="1"/>
    <col min="1792" max="1792" width="15.375" bestFit="1" customWidth="1"/>
    <col min="1793" max="1793" width="7.5" bestFit="1" customWidth="1"/>
    <col min="1794" max="1794" width="15.25" customWidth="1"/>
    <col min="1795" max="1795" width="7.5" bestFit="1" customWidth="1"/>
    <col min="1796" max="1796" width="15.375" bestFit="1" customWidth="1"/>
    <col min="1797" max="1797" width="7.5" bestFit="1" customWidth="1"/>
    <col min="1798" max="1798" width="15.375" bestFit="1" customWidth="1"/>
    <col min="1799" max="1799" width="7.5" bestFit="1" customWidth="1"/>
    <col min="1800" max="1800" width="16.875" bestFit="1" customWidth="1"/>
    <col min="2044" max="2044" width="2.875" customWidth="1"/>
    <col min="2045" max="2045" width="49" customWidth="1"/>
    <col min="2046" max="2046" width="16.875" bestFit="1" customWidth="1"/>
    <col min="2047" max="2047" width="13.625" bestFit="1" customWidth="1"/>
    <col min="2048" max="2048" width="15.375" bestFit="1" customWidth="1"/>
    <col min="2049" max="2049" width="7.5" bestFit="1" customWidth="1"/>
    <col min="2050" max="2050" width="15.25" customWidth="1"/>
    <col min="2051" max="2051" width="7.5" bestFit="1" customWidth="1"/>
    <col min="2052" max="2052" width="15.375" bestFit="1" customWidth="1"/>
    <col min="2053" max="2053" width="7.5" bestFit="1" customWidth="1"/>
    <col min="2054" max="2054" width="15.375" bestFit="1" customWidth="1"/>
    <col min="2055" max="2055" width="7.5" bestFit="1" customWidth="1"/>
    <col min="2056" max="2056" width="16.875" bestFit="1" customWidth="1"/>
    <col min="2300" max="2300" width="2.875" customWidth="1"/>
    <col min="2301" max="2301" width="49" customWidth="1"/>
    <col min="2302" max="2302" width="16.875" bestFit="1" customWidth="1"/>
    <col min="2303" max="2303" width="13.625" bestFit="1" customWidth="1"/>
    <col min="2304" max="2304" width="15.375" bestFit="1" customWidth="1"/>
    <col min="2305" max="2305" width="7.5" bestFit="1" customWidth="1"/>
    <col min="2306" max="2306" width="15.25" customWidth="1"/>
    <col min="2307" max="2307" width="7.5" bestFit="1" customWidth="1"/>
    <col min="2308" max="2308" width="15.375" bestFit="1" customWidth="1"/>
    <col min="2309" max="2309" width="7.5" bestFit="1" customWidth="1"/>
    <col min="2310" max="2310" width="15.375" bestFit="1" customWidth="1"/>
    <col min="2311" max="2311" width="7.5" bestFit="1" customWidth="1"/>
    <col min="2312" max="2312" width="16.875" bestFit="1" customWidth="1"/>
    <col min="2556" max="2556" width="2.875" customWidth="1"/>
    <col min="2557" max="2557" width="49" customWidth="1"/>
    <col min="2558" max="2558" width="16.875" bestFit="1" customWidth="1"/>
    <col min="2559" max="2559" width="13.625" bestFit="1" customWidth="1"/>
    <col min="2560" max="2560" width="15.375" bestFit="1" customWidth="1"/>
    <col min="2561" max="2561" width="7.5" bestFit="1" customWidth="1"/>
    <col min="2562" max="2562" width="15.25" customWidth="1"/>
    <col min="2563" max="2563" width="7.5" bestFit="1" customWidth="1"/>
    <col min="2564" max="2564" width="15.375" bestFit="1" customWidth="1"/>
    <col min="2565" max="2565" width="7.5" bestFit="1" customWidth="1"/>
    <col min="2566" max="2566" width="15.375" bestFit="1" customWidth="1"/>
    <col min="2567" max="2567" width="7.5" bestFit="1" customWidth="1"/>
    <col min="2568" max="2568" width="16.875" bestFit="1" customWidth="1"/>
    <col min="2812" max="2812" width="2.875" customWidth="1"/>
    <col min="2813" max="2813" width="49" customWidth="1"/>
    <col min="2814" max="2814" width="16.875" bestFit="1" customWidth="1"/>
    <col min="2815" max="2815" width="13.625" bestFit="1" customWidth="1"/>
    <col min="2816" max="2816" width="15.375" bestFit="1" customWidth="1"/>
    <col min="2817" max="2817" width="7.5" bestFit="1" customWidth="1"/>
    <col min="2818" max="2818" width="15.25" customWidth="1"/>
    <col min="2819" max="2819" width="7.5" bestFit="1" customWidth="1"/>
    <col min="2820" max="2820" width="15.375" bestFit="1" customWidth="1"/>
    <col min="2821" max="2821" width="7.5" bestFit="1" customWidth="1"/>
    <col min="2822" max="2822" width="15.375" bestFit="1" customWidth="1"/>
    <col min="2823" max="2823" width="7.5" bestFit="1" customWidth="1"/>
    <col min="2824" max="2824" width="16.875" bestFit="1" customWidth="1"/>
    <col min="3068" max="3068" width="2.875" customWidth="1"/>
    <col min="3069" max="3069" width="49" customWidth="1"/>
    <col min="3070" max="3070" width="16.875" bestFit="1" customWidth="1"/>
    <col min="3071" max="3071" width="13.625" bestFit="1" customWidth="1"/>
    <col min="3072" max="3072" width="15.375" bestFit="1" customWidth="1"/>
    <col min="3073" max="3073" width="7.5" bestFit="1" customWidth="1"/>
    <col min="3074" max="3074" width="15.25" customWidth="1"/>
    <col min="3075" max="3075" width="7.5" bestFit="1" customWidth="1"/>
    <col min="3076" max="3076" width="15.375" bestFit="1" customWidth="1"/>
    <col min="3077" max="3077" width="7.5" bestFit="1" customWidth="1"/>
    <col min="3078" max="3078" width="15.375" bestFit="1" customWidth="1"/>
    <col min="3079" max="3079" width="7.5" bestFit="1" customWidth="1"/>
    <col min="3080" max="3080" width="16.875" bestFit="1" customWidth="1"/>
    <col min="3324" max="3324" width="2.875" customWidth="1"/>
    <col min="3325" max="3325" width="49" customWidth="1"/>
    <col min="3326" max="3326" width="16.875" bestFit="1" customWidth="1"/>
    <col min="3327" max="3327" width="13.625" bestFit="1" customWidth="1"/>
    <col min="3328" max="3328" width="15.375" bestFit="1" customWidth="1"/>
    <col min="3329" max="3329" width="7.5" bestFit="1" customWidth="1"/>
    <col min="3330" max="3330" width="15.25" customWidth="1"/>
    <col min="3331" max="3331" width="7.5" bestFit="1" customWidth="1"/>
    <col min="3332" max="3332" width="15.375" bestFit="1" customWidth="1"/>
    <col min="3333" max="3333" width="7.5" bestFit="1" customWidth="1"/>
    <col min="3334" max="3334" width="15.375" bestFit="1" customWidth="1"/>
    <col min="3335" max="3335" width="7.5" bestFit="1" customWidth="1"/>
    <col min="3336" max="3336" width="16.875" bestFit="1" customWidth="1"/>
    <col min="3580" max="3580" width="2.875" customWidth="1"/>
    <col min="3581" max="3581" width="49" customWidth="1"/>
    <col min="3582" max="3582" width="16.875" bestFit="1" customWidth="1"/>
    <col min="3583" max="3583" width="13.625" bestFit="1" customWidth="1"/>
    <col min="3584" max="3584" width="15.375" bestFit="1" customWidth="1"/>
    <col min="3585" max="3585" width="7.5" bestFit="1" customWidth="1"/>
    <col min="3586" max="3586" width="15.25" customWidth="1"/>
    <col min="3587" max="3587" width="7.5" bestFit="1" customWidth="1"/>
    <col min="3588" max="3588" width="15.375" bestFit="1" customWidth="1"/>
    <col min="3589" max="3589" width="7.5" bestFit="1" customWidth="1"/>
    <col min="3590" max="3590" width="15.375" bestFit="1" customWidth="1"/>
    <col min="3591" max="3591" width="7.5" bestFit="1" customWidth="1"/>
    <col min="3592" max="3592" width="16.875" bestFit="1" customWidth="1"/>
    <col min="3836" max="3836" width="2.875" customWidth="1"/>
    <col min="3837" max="3837" width="49" customWidth="1"/>
    <col min="3838" max="3838" width="16.875" bestFit="1" customWidth="1"/>
    <col min="3839" max="3839" width="13.625" bestFit="1" customWidth="1"/>
    <col min="3840" max="3840" width="15.375" bestFit="1" customWidth="1"/>
    <col min="3841" max="3841" width="7.5" bestFit="1" customWidth="1"/>
    <col min="3842" max="3842" width="15.25" customWidth="1"/>
    <col min="3843" max="3843" width="7.5" bestFit="1" customWidth="1"/>
    <col min="3844" max="3844" width="15.375" bestFit="1" customWidth="1"/>
    <col min="3845" max="3845" width="7.5" bestFit="1" customWidth="1"/>
    <col min="3846" max="3846" width="15.375" bestFit="1" customWidth="1"/>
    <col min="3847" max="3847" width="7.5" bestFit="1" customWidth="1"/>
    <col min="3848" max="3848" width="16.875" bestFit="1" customWidth="1"/>
    <col min="4092" max="4092" width="2.875" customWidth="1"/>
    <col min="4093" max="4093" width="49" customWidth="1"/>
    <col min="4094" max="4094" width="16.875" bestFit="1" customWidth="1"/>
    <col min="4095" max="4095" width="13.625" bestFit="1" customWidth="1"/>
    <col min="4096" max="4096" width="15.375" bestFit="1" customWidth="1"/>
    <col min="4097" max="4097" width="7.5" bestFit="1" customWidth="1"/>
    <col min="4098" max="4098" width="15.25" customWidth="1"/>
    <col min="4099" max="4099" width="7.5" bestFit="1" customWidth="1"/>
    <col min="4100" max="4100" width="15.375" bestFit="1" customWidth="1"/>
    <col min="4101" max="4101" width="7.5" bestFit="1" customWidth="1"/>
    <col min="4102" max="4102" width="15.375" bestFit="1" customWidth="1"/>
    <col min="4103" max="4103" width="7.5" bestFit="1" customWidth="1"/>
    <col min="4104" max="4104" width="16.875" bestFit="1" customWidth="1"/>
    <col min="4348" max="4348" width="2.875" customWidth="1"/>
    <col min="4349" max="4349" width="49" customWidth="1"/>
    <col min="4350" max="4350" width="16.875" bestFit="1" customWidth="1"/>
    <col min="4351" max="4351" width="13.625" bestFit="1" customWidth="1"/>
    <col min="4352" max="4352" width="15.375" bestFit="1" customWidth="1"/>
    <col min="4353" max="4353" width="7.5" bestFit="1" customWidth="1"/>
    <col min="4354" max="4354" width="15.25" customWidth="1"/>
    <col min="4355" max="4355" width="7.5" bestFit="1" customWidth="1"/>
    <col min="4356" max="4356" width="15.375" bestFit="1" customWidth="1"/>
    <col min="4357" max="4357" width="7.5" bestFit="1" customWidth="1"/>
    <col min="4358" max="4358" width="15.375" bestFit="1" customWidth="1"/>
    <col min="4359" max="4359" width="7.5" bestFit="1" customWidth="1"/>
    <col min="4360" max="4360" width="16.875" bestFit="1" customWidth="1"/>
    <col min="4604" max="4604" width="2.875" customWidth="1"/>
    <col min="4605" max="4605" width="49" customWidth="1"/>
    <col min="4606" max="4606" width="16.875" bestFit="1" customWidth="1"/>
    <col min="4607" max="4607" width="13.625" bestFit="1" customWidth="1"/>
    <col min="4608" max="4608" width="15.375" bestFit="1" customWidth="1"/>
    <col min="4609" max="4609" width="7.5" bestFit="1" customWidth="1"/>
    <col min="4610" max="4610" width="15.25" customWidth="1"/>
    <col min="4611" max="4611" width="7.5" bestFit="1" customWidth="1"/>
    <col min="4612" max="4612" width="15.375" bestFit="1" customWidth="1"/>
    <col min="4613" max="4613" width="7.5" bestFit="1" customWidth="1"/>
    <col min="4614" max="4614" width="15.375" bestFit="1" customWidth="1"/>
    <col min="4615" max="4615" width="7.5" bestFit="1" customWidth="1"/>
    <col min="4616" max="4616" width="16.875" bestFit="1" customWidth="1"/>
    <col min="4860" max="4860" width="2.875" customWidth="1"/>
    <col min="4861" max="4861" width="49" customWidth="1"/>
    <col min="4862" max="4862" width="16.875" bestFit="1" customWidth="1"/>
    <col min="4863" max="4863" width="13.625" bestFit="1" customWidth="1"/>
    <col min="4864" max="4864" width="15.375" bestFit="1" customWidth="1"/>
    <col min="4865" max="4865" width="7.5" bestFit="1" customWidth="1"/>
    <col min="4866" max="4866" width="15.25" customWidth="1"/>
    <col min="4867" max="4867" width="7.5" bestFit="1" customWidth="1"/>
    <col min="4868" max="4868" width="15.375" bestFit="1" customWidth="1"/>
    <col min="4869" max="4869" width="7.5" bestFit="1" customWidth="1"/>
    <col min="4870" max="4870" width="15.375" bestFit="1" customWidth="1"/>
    <col min="4871" max="4871" width="7.5" bestFit="1" customWidth="1"/>
    <col min="4872" max="4872" width="16.875" bestFit="1" customWidth="1"/>
    <col min="5116" max="5116" width="2.875" customWidth="1"/>
    <col min="5117" max="5117" width="49" customWidth="1"/>
    <col min="5118" max="5118" width="16.875" bestFit="1" customWidth="1"/>
    <col min="5119" max="5119" width="13.625" bestFit="1" customWidth="1"/>
    <col min="5120" max="5120" width="15.375" bestFit="1" customWidth="1"/>
    <col min="5121" max="5121" width="7.5" bestFit="1" customWidth="1"/>
    <col min="5122" max="5122" width="15.25" customWidth="1"/>
    <col min="5123" max="5123" width="7.5" bestFit="1" customWidth="1"/>
    <col min="5124" max="5124" width="15.375" bestFit="1" customWidth="1"/>
    <col min="5125" max="5125" width="7.5" bestFit="1" customWidth="1"/>
    <col min="5126" max="5126" width="15.375" bestFit="1" customWidth="1"/>
    <col min="5127" max="5127" width="7.5" bestFit="1" customWidth="1"/>
    <col min="5128" max="5128" width="16.875" bestFit="1" customWidth="1"/>
    <col min="5372" max="5372" width="2.875" customWidth="1"/>
    <col min="5373" max="5373" width="49" customWidth="1"/>
    <col min="5374" max="5374" width="16.875" bestFit="1" customWidth="1"/>
    <col min="5375" max="5375" width="13.625" bestFit="1" customWidth="1"/>
    <col min="5376" max="5376" width="15.375" bestFit="1" customWidth="1"/>
    <col min="5377" max="5377" width="7.5" bestFit="1" customWidth="1"/>
    <col min="5378" max="5378" width="15.25" customWidth="1"/>
    <col min="5379" max="5379" width="7.5" bestFit="1" customWidth="1"/>
    <col min="5380" max="5380" width="15.375" bestFit="1" customWidth="1"/>
    <col min="5381" max="5381" width="7.5" bestFit="1" customWidth="1"/>
    <col min="5382" max="5382" width="15.375" bestFit="1" customWidth="1"/>
    <col min="5383" max="5383" width="7.5" bestFit="1" customWidth="1"/>
    <col min="5384" max="5384" width="16.875" bestFit="1" customWidth="1"/>
    <col min="5628" max="5628" width="2.875" customWidth="1"/>
    <col min="5629" max="5629" width="49" customWidth="1"/>
    <col min="5630" max="5630" width="16.875" bestFit="1" customWidth="1"/>
    <col min="5631" max="5631" width="13.625" bestFit="1" customWidth="1"/>
    <col min="5632" max="5632" width="15.375" bestFit="1" customWidth="1"/>
    <col min="5633" max="5633" width="7.5" bestFit="1" customWidth="1"/>
    <col min="5634" max="5634" width="15.25" customWidth="1"/>
    <col min="5635" max="5635" width="7.5" bestFit="1" customWidth="1"/>
    <col min="5636" max="5636" width="15.375" bestFit="1" customWidth="1"/>
    <col min="5637" max="5637" width="7.5" bestFit="1" customWidth="1"/>
    <col min="5638" max="5638" width="15.375" bestFit="1" customWidth="1"/>
    <col min="5639" max="5639" width="7.5" bestFit="1" customWidth="1"/>
    <col min="5640" max="5640" width="16.875" bestFit="1" customWidth="1"/>
    <col min="5884" max="5884" width="2.875" customWidth="1"/>
    <col min="5885" max="5885" width="49" customWidth="1"/>
    <col min="5886" max="5886" width="16.875" bestFit="1" customWidth="1"/>
    <col min="5887" max="5887" width="13.625" bestFit="1" customWidth="1"/>
    <col min="5888" max="5888" width="15.375" bestFit="1" customWidth="1"/>
    <col min="5889" max="5889" width="7.5" bestFit="1" customWidth="1"/>
    <col min="5890" max="5890" width="15.25" customWidth="1"/>
    <col min="5891" max="5891" width="7.5" bestFit="1" customWidth="1"/>
    <col min="5892" max="5892" width="15.375" bestFit="1" customWidth="1"/>
    <col min="5893" max="5893" width="7.5" bestFit="1" customWidth="1"/>
    <col min="5894" max="5894" width="15.375" bestFit="1" customWidth="1"/>
    <col min="5895" max="5895" width="7.5" bestFit="1" customWidth="1"/>
    <col min="5896" max="5896" width="16.875" bestFit="1" customWidth="1"/>
    <col min="6140" max="6140" width="2.875" customWidth="1"/>
    <col min="6141" max="6141" width="49" customWidth="1"/>
    <col min="6142" max="6142" width="16.875" bestFit="1" customWidth="1"/>
    <col min="6143" max="6143" width="13.625" bestFit="1" customWidth="1"/>
    <col min="6144" max="6144" width="15.375" bestFit="1" customWidth="1"/>
    <col min="6145" max="6145" width="7.5" bestFit="1" customWidth="1"/>
    <col min="6146" max="6146" width="15.25" customWidth="1"/>
    <col min="6147" max="6147" width="7.5" bestFit="1" customWidth="1"/>
    <col min="6148" max="6148" width="15.375" bestFit="1" customWidth="1"/>
    <col min="6149" max="6149" width="7.5" bestFit="1" customWidth="1"/>
    <col min="6150" max="6150" width="15.375" bestFit="1" customWidth="1"/>
    <col min="6151" max="6151" width="7.5" bestFit="1" customWidth="1"/>
    <col min="6152" max="6152" width="16.875" bestFit="1" customWidth="1"/>
    <col min="6396" max="6396" width="2.875" customWidth="1"/>
    <col min="6397" max="6397" width="49" customWidth="1"/>
    <col min="6398" max="6398" width="16.875" bestFit="1" customWidth="1"/>
    <col min="6399" max="6399" width="13.625" bestFit="1" customWidth="1"/>
    <col min="6400" max="6400" width="15.375" bestFit="1" customWidth="1"/>
    <col min="6401" max="6401" width="7.5" bestFit="1" customWidth="1"/>
    <col min="6402" max="6402" width="15.25" customWidth="1"/>
    <col min="6403" max="6403" width="7.5" bestFit="1" customWidth="1"/>
    <col min="6404" max="6404" width="15.375" bestFit="1" customWidth="1"/>
    <col min="6405" max="6405" width="7.5" bestFit="1" customWidth="1"/>
    <col min="6406" max="6406" width="15.375" bestFit="1" customWidth="1"/>
    <col min="6407" max="6407" width="7.5" bestFit="1" customWidth="1"/>
    <col min="6408" max="6408" width="16.875" bestFit="1" customWidth="1"/>
    <col min="6652" max="6652" width="2.875" customWidth="1"/>
    <col min="6653" max="6653" width="49" customWidth="1"/>
    <col min="6654" max="6654" width="16.875" bestFit="1" customWidth="1"/>
    <col min="6655" max="6655" width="13.625" bestFit="1" customWidth="1"/>
    <col min="6656" max="6656" width="15.375" bestFit="1" customWidth="1"/>
    <col min="6657" max="6657" width="7.5" bestFit="1" customWidth="1"/>
    <col min="6658" max="6658" width="15.25" customWidth="1"/>
    <col min="6659" max="6659" width="7.5" bestFit="1" customWidth="1"/>
    <col min="6660" max="6660" width="15.375" bestFit="1" customWidth="1"/>
    <col min="6661" max="6661" width="7.5" bestFit="1" customWidth="1"/>
    <col min="6662" max="6662" width="15.375" bestFit="1" customWidth="1"/>
    <col min="6663" max="6663" width="7.5" bestFit="1" customWidth="1"/>
    <col min="6664" max="6664" width="16.875" bestFit="1" customWidth="1"/>
    <col min="6908" max="6908" width="2.875" customWidth="1"/>
    <col min="6909" max="6909" width="49" customWidth="1"/>
    <col min="6910" max="6910" width="16.875" bestFit="1" customWidth="1"/>
    <col min="6911" max="6911" width="13.625" bestFit="1" customWidth="1"/>
    <col min="6912" max="6912" width="15.375" bestFit="1" customWidth="1"/>
    <col min="6913" max="6913" width="7.5" bestFit="1" customWidth="1"/>
    <col min="6914" max="6914" width="15.25" customWidth="1"/>
    <col min="6915" max="6915" width="7.5" bestFit="1" customWidth="1"/>
    <col min="6916" max="6916" width="15.375" bestFit="1" customWidth="1"/>
    <col min="6917" max="6917" width="7.5" bestFit="1" customWidth="1"/>
    <col min="6918" max="6918" width="15.375" bestFit="1" customWidth="1"/>
    <col min="6919" max="6919" width="7.5" bestFit="1" customWidth="1"/>
    <col min="6920" max="6920" width="16.875" bestFit="1" customWidth="1"/>
    <col min="7164" max="7164" width="2.875" customWidth="1"/>
    <col min="7165" max="7165" width="49" customWidth="1"/>
    <col min="7166" max="7166" width="16.875" bestFit="1" customWidth="1"/>
    <col min="7167" max="7167" width="13.625" bestFit="1" customWidth="1"/>
    <col min="7168" max="7168" width="15.375" bestFit="1" customWidth="1"/>
    <col min="7169" max="7169" width="7.5" bestFit="1" customWidth="1"/>
    <col min="7170" max="7170" width="15.25" customWidth="1"/>
    <col min="7171" max="7171" width="7.5" bestFit="1" customWidth="1"/>
    <col min="7172" max="7172" width="15.375" bestFit="1" customWidth="1"/>
    <col min="7173" max="7173" width="7.5" bestFit="1" customWidth="1"/>
    <col min="7174" max="7174" width="15.375" bestFit="1" customWidth="1"/>
    <col min="7175" max="7175" width="7.5" bestFit="1" customWidth="1"/>
    <col min="7176" max="7176" width="16.875" bestFit="1" customWidth="1"/>
    <col min="7420" max="7420" width="2.875" customWidth="1"/>
    <col min="7421" max="7421" width="49" customWidth="1"/>
    <col min="7422" max="7422" width="16.875" bestFit="1" customWidth="1"/>
    <col min="7423" max="7423" width="13.625" bestFit="1" customWidth="1"/>
    <col min="7424" max="7424" width="15.375" bestFit="1" customWidth="1"/>
    <col min="7425" max="7425" width="7.5" bestFit="1" customWidth="1"/>
    <col min="7426" max="7426" width="15.25" customWidth="1"/>
    <col min="7427" max="7427" width="7.5" bestFit="1" customWidth="1"/>
    <col min="7428" max="7428" width="15.375" bestFit="1" customWidth="1"/>
    <col min="7429" max="7429" width="7.5" bestFit="1" customWidth="1"/>
    <col min="7430" max="7430" width="15.375" bestFit="1" customWidth="1"/>
    <col min="7431" max="7431" width="7.5" bestFit="1" customWidth="1"/>
    <col min="7432" max="7432" width="16.875" bestFit="1" customWidth="1"/>
    <col min="7676" max="7676" width="2.875" customWidth="1"/>
    <col min="7677" max="7677" width="49" customWidth="1"/>
    <col min="7678" max="7678" width="16.875" bestFit="1" customWidth="1"/>
    <col min="7679" max="7679" width="13.625" bestFit="1" customWidth="1"/>
    <col min="7680" max="7680" width="15.375" bestFit="1" customWidth="1"/>
    <col min="7681" max="7681" width="7.5" bestFit="1" customWidth="1"/>
    <col min="7682" max="7682" width="15.25" customWidth="1"/>
    <col min="7683" max="7683" width="7.5" bestFit="1" customWidth="1"/>
    <col min="7684" max="7684" width="15.375" bestFit="1" customWidth="1"/>
    <col min="7685" max="7685" width="7.5" bestFit="1" customWidth="1"/>
    <col min="7686" max="7686" width="15.375" bestFit="1" customWidth="1"/>
    <col min="7687" max="7687" width="7.5" bestFit="1" customWidth="1"/>
    <col min="7688" max="7688" width="16.875" bestFit="1" customWidth="1"/>
    <col min="7932" max="7932" width="2.875" customWidth="1"/>
    <col min="7933" max="7933" width="49" customWidth="1"/>
    <col min="7934" max="7934" width="16.875" bestFit="1" customWidth="1"/>
    <col min="7935" max="7935" width="13.625" bestFit="1" customWidth="1"/>
    <col min="7936" max="7936" width="15.375" bestFit="1" customWidth="1"/>
    <col min="7937" max="7937" width="7.5" bestFit="1" customWidth="1"/>
    <col min="7938" max="7938" width="15.25" customWidth="1"/>
    <col min="7939" max="7939" width="7.5" bestFit="1" customWidth="1"/>
    <col min="7940" max="7940" width="15.375" bestFit="1" customWidth="1"/>
    <col min="7941" max="7941" width="7.5" bestFit="1" customWidth="1"/>
    <col min="7942" max="7942" width="15.375" bestFit="1" customWidth="1"/>
    <col min="7943" max="7943" width="7.5" bestFit="1" customWidth="1"/>
    <col min="7944" max="7944" width="16.875" bestFit="1" customWidth="1"/>
    <col min="8188" max="8188" width="2.875" customWidth="1"/>
    <col min="8189" max="8189" width="49" customWidth="1"/>
    <col min="8190" max="8190" width="16.875" bestFit="1" customWidth="1"/>
    <col min="8191" max="8191" width="13.625" bestFit="1" customWidth="1"/>
    <col min="8192" max="8192" width="15.375" bestFit="1" customWidth="1"/>
    <col min="8193" max="8193" width="7.5" bestFit="1" customWidth="1"/>
    <col min="8194" max="8194" width="15.25" customWidth="1"/>
    <col min="8195" max="8195" width="7.5" bestFit="1" customWidth="1"/>
    <col min="8196" max="8196" width="15.375" bestFit="1" customWidth="1"/>
    <col min="8197" max="8197" width="7.5" bestFit="1" customWidth="1"/>
    <col min="8198" max="8198" width="15.375" bestFit="1" customWidth="1"/>
    <col min="8199" max="8199" width="7.5" bestFit="1" customWidth="1"/>
    <col min="8200" max="8200" width="16.875" bestFit="1" customWidth="1"/>
    <col min="8444" max="8444" width="2.875" customWidth="1"/>
    <col min="8445" max="8445" width="49" customWidth="1"/>
    <col min="8446" max="8446" width="16.875" bestFit="1" customWidth="1"/>
    <col min="8447" max="8447" width="13.625" bestFit="1" customWidth="1"/>
    <col min="8448" max="8448" width="15.375" bestFit="1" customWidth="1"/>
    <col min="8449" max="8449" width="7.5" bestFit="1" customWidth="1"/>
    <col min="8450" max="8450" width="15.25" customWidth="1"/>
    <col min="8451" max="8451" width="7.5" bestFit="1" customWidth="1"/>
    <col min="8452" max="8452" width="15.375" bestFit="1" customWidth="1"/>
    <col min="8453" max="8453" width="7.5" bestFit="1" customWidth="1"/>
    <col min="8454" max="8454" width="15.375" bestFit="1" customWidth="1"/>
    <col min="8455" max="8455" width="7.5" bestFit="1" customWidth="1"/>
    <col min="8456" max="8456" width="16.875" bestFit="1" customWidth="1"/>
    <col min="8700" max="8700" width="2.875" customWidth="1"/>
    <col min="8701" max="8701" width="49" customWidth="1"/>
    <col min="8702" max="8702" width="16.875" bestFit="1" customWidth="1"/>
    <col min="8703" max="8703" width="13.625" bestFit="1" customWidth="1"/>
    <col min="8704" max="8704" width="15.375" bestFit="1" customWidth="1"/>
    <col min="8705" max="8705" width="7.5" bestFit="1" customWidth="1"/>
    <col min="8706" max="8706" width="15.25" customWidth="1"/>
    <col min="8707" max="8707" width="7.5" bestFit="1" customWidth="1"/>
    <col min="8708" max="8708" width="15.375" bestFit="1" customWidth="1"/>
    <col min="8709" max="8709" width="7.5" bestFit="1" customWidth="1"/>
    <col min="8710" max="8710" width="15.375" bestFit="1" customWidth="1"/>
    <col min="8711" max="8711" width="7.5" bestFit="1" customWidth="1"/>
    <col min="8712" max="8712" width="16.875" bestFit="1" customWidth="1"/>
    <col min="8956" max="8956" width="2.875" customWidth="1"/>
    <col min="8957" max="8957" width="49" customWidth="1"/>
    <col min="8958" max="8958" width="16.875" bestFit="1" customWidth="1"/>
    <col min="8959" max="8959" width="13.625" bestFit="1" customWidth="1"/>
    <col min="8960" max="8960" width="15.375" bestFit="1" customWidth="1"/>
    <col min="8961" max="8961" width="7.5" bestFit="1" customWidth="1"/>
    <col min="8962" max="8962" width="15.25" customWidth="1"/>
    <col min="8963" max="8963" width="7.5" bestFit="1" customWidth="1"/>
    <col min="8964" max="8964" width="15.375" bestFit="1" customWidth="1"/>
    <col min="8965" max="8965" width="7.5" bestFit="1" customWidth="1"/>
    <col min="8966" max="8966" width="15.375" bestFit="1" customWidth="1"/>
    <col min="8967" max="8967" width="7.5" bestFit="1" customWidth="1"/>
    <col min="8968" max="8968" width="16.875" bestFit="1" customWidth="1"/>
    <col min="9212" max="9212" width="2.875" customWidth="1"/>
    <col min="9213" max="9213" width="49" customWidth="1"/>
    <col min="9214" max="9214" width="16.875" bestFit="1" customWidth="1"/>
    <col min="9215" max="9215" width="13.625" bestFit="1" customWidth="1"/>
    <col min="9216" max="9216" width="15.375" bestFit="1" customWidth="1"/>
    <col min="9217" max="9217" width="7.5" bestFit="1" customWidth="1"/>
    <col min="9218" max="9218" width="15.25" customWidth="1"/>
    <col min="9219" max="9219" width="7.5" bestFit="1" customWidth="1"/>
    <col min="9220" max="9220" width="15.375" bestFit="1" customWidth="1"/>
    <col min="9221" max="9221" width="7.5" bestFit="1" customWidth="1"/>
    <col min="9222" max="9222" width="15.375" bestFit="1" customWidth="1"/>
    <col min="9223" max="9223" width="7.5" bestFit="1" customWidth="1"/>
    <col min="9224" max="9224" width="16.875" bestFit="1" customWidth="1"/>
    <col min="9468" max="9468" width="2.875" customWidth="1"/>
    <col min="9469" max="9469" width="49" customWidth="1"/>
    <col min="9470" max="9470" width="16.875" bestFit="1" customWidth="1"/>
    <col min="9471" max="9471" width="13.625" bestFit="1" customWidth="1"/>
    <col min="9472" max="9472" width="15.375" bestFit="1" customWidth="1"/>
    <col min="9473" max="9473" width="7.5" bestFit="1" customWidth="1"/>
    <col min="9474" max="9474" width="15.25" customWidth="1"/>
    <col min="9475" max="9475" width="7.5" bestFit="1" customWidth="1"/>
    <col min="9476" max="9476" width="15.375" bestFit="1" customWidth="1"/>
    <col min="9477" max="9477" width="7.5" bestFit="1" customWidth="1"/>
    <col min="9478" max="9478" width="15.375" bestFit="1" customWidth="1"/>
    <col min="9479" max="9479" width="7.5" bestFit="1" customWidth="1"/>
    <col min="9480" max="9480" width="16.875" bestFit="1" customWidth="1"/>
    <col min="9724" max="9724" width="2.875" customWidth="1"/>
    <col min="9725" max="9725" width="49" customWidth="1"/>
    <col min="9726" max="9726" width="16.875" bestFit="1" customWidth="1"/>
    <col min="9727" max="9727" width="13.625" bestFit="1" customWidth="1"/>
    <col min="9728" max="9728" width="15.375" bestFit="1" customWidth="1"/>
    <col min="9729" max="9729" width="7.5" bestFit="1" customWidth="1"/>
    <col min="9730" max="9730" width="15.25" customWidth="1"/>
    <col min="9731" max="9731" width="7.5" bestFit="1" customWidth="1"/>
    <col min="9732" max="9732" width="15.375" bestFit="1" customWidth="1"/>
    <col min="9733" max="9733" width="7.5" bestFit="1" customWidth="1"/>
    <col min="9734" max="9734" width="15.375" bestFit="1" customWidth="1"/>
    <col min="9735" max="9735" width="7.5" bestFit="1" customWidth="1"/>
    <col min="9736" max="9736" width="16.875" bestFit="1" customWidth="1"/>
    <col min="9980" max="9980" width="2.875" customWidth="1"/>
    <col min="9981" max="9981" width="49" customWidth="1"/>
    <col min="9982" max="9982" width="16.875" bestFit="1" customWidth="1"/>
    <col min="9983" max="9983" width="13.625" bestFit="1" customWidth="1"/>
    <col min="9984" max="9984" width="15.375" bestFit="1" customWidth="1"/>
    <col min="9985" max="9985" width="7.5" bestFit="1" customWidth="1"/>
    <col min="9986" max="9986" width="15.25" customWidth="1"/>
    <col min="9987" max="9987" width="7.5" bestFit="1" customWidth="1"/>
    <col min="9988" max="9988" width="15.375" bestFit="1" customWidth="1"/>
    <col min="9989" max="9989" width="7.5" bestFit="1" customWidth="1"/>
    <col min="9990" max="9990" width="15.375" bestFit="1" customWidth="1"/>
    <col min="9991" max="9991" width="7.5" bestFit="1" customWidth="1"/>
    <col min="9992" max="9992" width="16.875" bestFit="1" customWidth="1"/>
    <col min="10236" max="10236" width="2.875" customWidth="1"/>
    <col min="10237" max="10237" width="49" customWidth="1"/>
    <col min="10238" max="10238" width="16.875" bestFit="1" customWidth="1"/>
    <col min="10239" max="10239" width="13.625" bestFit="1" customWidth="1"/>
    <col min="10240" max="10240" width="15.375" bestFit="1" customWidth="1"/>
    <col min="10241" max="10241" width="7.5" bestFit="1" customWidth="1"/>
    <col min="10242" max="10242" width="15.25" customWidth="1"/>
    <col min="10243" max="10243" width="7.5" bestFit="1" customWidth="1"/>
    <col min="10244" max="10244" width="15.375" bestFit="1" customWidth="1"/>
    <col min="10245" max="10245" width="7.5" bestFit="1" customWidth="1"/>
    <col min="10246" max="10246" width="15.375" bestFit="1" customWidth="1"/>
    <col min="10247" max="10247" width="7.5" bestFit="1" customWidth="1"/>
    <col min="10248" max="10248" width="16.875" bestFit="1" customWidth="1"/>
    <col min="10492" max="10492" width="2.875" customWidth="1"/>
    <col min="10493" max="10493" width="49" customWidth="1"/>
    <col min="10494" max="10494" width="16.875" bestFit="1" customWidth="1"/>
    <col min="10495" max="10495" width="13.625" bestFit="1" customWidth="1"/>
    <col min="10496" max="10496" width="15.375" bestFit="1" customWidth="1"/>
    <col min="10497" max="10497" width="7.5" bestFit="1" customWidth="1"/>
    <col min="10498" max="10498" width="15.25" customWidth="1"/>
    <col min="10499" max="10499" width="7.5" bestFit="1" customWidth="1"/>
    <col min="10500" max="10500" width="15.375" bestFit="1" customWidth="1"/>
    <col min="10501" max="10501" width="7.5" bestFit="1" customWidth="1"/>
    <col min="10502" max="10502" width="15.375" bestFit="1" customWidth="1"/>
    <col min="10503" max="10503" width="7.5" bestFit="1" customWidth="1"/>
    <col min="10504" max="10504" width="16.875" bestFit="1" customWidth="1"/>
    <col min="10748" max="10748" width="2.875" customWidth="1"/>
    <col min="10749" max="10749" width="49" customWidth="1"/>
    <col min="10750" max="10750" width="16.875" bestFit="1" customWidth="1"/>
    <col min="10751" max="10751" width="13.625" bestFit="1" customWidth="1"/>
    <col min="10752" max="10752" width="15.375" bestFit="1" customWidth="1"/>
    <col min="10753" max="10753" width="7.5" bestFit="1" customWidth="1"/>
    <col min="10754" max="10754" width="15.25" customWidth="1"/>
    <col min="10755" max="10755" width="7.5" bestFit="1" customWidth="1"/>
    <col min="10756" max="10756" width="15.375" bestFit="1" customWidth="1"/>
    <col min="10757" max="10757" width="7.5" bestFit="1" customWidth="1"/>
    <col min="10758" max="10758" width="15.375" bestFit="1" customWidth="1"/>
    <col min="10759" max="10759" width="7.5" bestFit="1" customWidth="1"/>
    <col min="10760" max="10760" width="16.875" bestFit="1" customWidth="1"/>
    <col min="11004" max="11004" width="2.875" customWidth="1"/>
    <col min="11005" max="11005" width="49" customWidth="1"/>
    <col min="11006" max="11006" width="16.875" bestFit="1" customWidth="1"/>
    <col min="11007" max="11007" width="13.625" bestFit="1" customWidth="1"/>
    <col min="11008" max="11008" width="15.375" bestFit="1" customWidth="1"/>
    <col min="11009" max="11009" width="7.5" bestFit="1" customWidth="1"/>
    <col min="11010" max="11010" width="15.25" customWidth="1"/>
    <col min="11011" max="11011" width="7.5" bestFit="1" customWidth="1"/>
    <col min="11012" max="11012" width="15.375" bestFit="1" customWidth="1"/>
    <col min="11013" max="11013" width="7.5" bestFit="1" customWidth="1"/>
    <col min="11014" max="11014" width="15.375" bestFit="1" customWidth="1"/>
    <col min="11015" max="11015" width="7.5" bestFit="1" customWidth="1"/>
    <col min="11016" max="11016" width="16.875" bestFit="1" customWidth="1"/>
    <col min="11260" max="11260" width="2.875" customWidth="1"/>
    <col min="11261" max="11261" width="49" customWidth="1"/>
    <col min="11262" max="11262" width="16.875" bestFit="1" customWidth="1"/>
    <col min="11263" max="11263" width="13.625" bestFit="1" customWidth="1"/>
    <col min="11264" max="11264" width="15.375" bestFit="1" customWidth="1"/>
    <col min="11265" max="11265" width="7.5" bestFit="1" customWidth="1"/>
    <col min="11266" max="11266" width="15.25" customWidth="1"/>
    <col min="11267" max="11267" width="7.5" bestFit="1" customWidth="1"/>
    <col min="11268" max="11268" width="15.375" bestFit="1" customWidth="1"/>
    <col min="11269" max="11269" width="7.5" bestFit="1" customWidth="1"/>
    <col min="11270" max="11270" width="15.375" bestFit="1" customWidth="1"/>
    <col min="11271" max="11271" width="7.5" bestFit="1" customWidth="1"/>
    <col min="11272" max="11272" width="16.875" bestFit="1" customWidth="1"/>
    <col min="11516" max="11516" width="2.875" customWidth="1"/>
    <col min="11517" max="11517" width="49" customWidth="1"/>
    <col min="11518" max="11518" width="16.875" bestFit="1" customWidth="1"/>
    <col min="11519" max="11519" width="13.625" bestFit="1" customWidth="1"/>
    <col min="11520" max="11520" width="15.375" bestFit="1" customWidth="1"/>
    <col min="11521" max="11521" width="7.5" bestFit="1" customWidth="1"/>
    <col min="11522" max="11522" width="15.25" customWidth="1"/>
    <col min="11523" max="11523" width="7.5" bestFit="1" customWidth="1"/>
    <col min="11524" max="11524" width="15.375" bestFit="1" customWidth="1"/>
    <col min="11525" max="11525" width="7.5" bestFit="1" customWidth="1"/>
    <col min="11526" max="11526" width="15.375" bestFit="1" customWidth="1"/>
    <col min="11527" max="11527" width="7.5" bestFit="1" customWidth="1"/>
    <col min="11528" max="11528" width="16.875" bestFit="1" customWidth="1"/>
    <col min="11772" max="11772" width="2.875" customWidth="1"/>
    <col min="11773" max="11773" width="49" customWidth="1"/>
    <col min="11774" max="11774" width="16.875" bestFit="1" customWidth="1"/>
    <col min="11775" max="11775" width="13.625" bestFit="1" customWidth="1"/>
    <col min="11776" max="11776" width="15.375" bestFit="1" customWidth="1"/>
    <col min="11777" max="11777" width="7.5" bestFit="1" customWidth="1"/>
    <col min="11778" max="11778" width="15.25" customWidth="1"/>
    <col min="11779" max="11779" width="7.5" bestFit="1" customWidth="1"/>
    <col min="11780" max="11780" width="15.375" bestFit="1" customWidth="1"/>
    <col min="11781" max="11781" width="7.5" bestFit="1" customWidth="1"/>
    <col min="11782" max="11782" width="15.375" bestFit="1" customWidth="1"/>
    <col min="11783" max="11783" width="7.5" bestFit="1" customWidth="1"/>
    <col min="11784" max="11784" width="16.875" bestFit="1" customWidth="1"/>
    <col min="12028" max="12028" width="2.875" customWidth="1"/>
    <col min="12029" max="12029" width="49" customWidth="1"/>
    <col min="12030" max="12030" width="16.875" bestFit="1" customWidth="1"/>
    <col min="12031" max="12031" width="13.625" bestFit="1" customWidth="1"/>
    <col min="12032" max="12032" width="15.375" bestFit="1" customWidth="1"/>
    <col min="12033" max="12033" width="7.5" bestFit="1" customWidth="1"/>
    <col min="12034" max="12034" width="15.25" customWidth="1"/>
    <col min="12035" max="12035" width="7.5" bestFit="1" customWidth="1"/>
    <col min="12036" max="12036" width="15.375" bestFit="1" customWidth="1"/>
    <col min="12037" max="12037" width="7.5" bestFit="1" customWidth="1"/>
    <col min="12038" max="12038" width="15.375" bestFit="1" customWidth="1"/>
    <col min="12039" max="12039" width="7.5" bestFit="1" customWidth="1"/>
    <col min="12040" max="12040" width="16.875" bestFit="1" customWidth="1"/>
    <col min="12284" max="12284" width="2.875" customWidth="1"/>
    <col min="12285" max="12285" width="49" customWidth="1"/>
    <col min="12286" max="12286" width="16.875" bestFit="1" customWidth="1"/>
    <col min="12287" max="12287" width="13.625" bestFit="1" customWidth="1"/>
    <col min="12288" max="12288" width="15.375" bestFit="1" customWidth="1"/>
    <col min="12289" max="12289" width="7.5" bestFit="1" customWidth="1"/>
    <col min="12290" max="12290" width="15.25" customWidth="1"/>
    <col min="12291" max="12291" width="7.5" bestFit="1" customWidth="1"/>
    <col min="12292" max="12292" width="15.375" bestFit="1" customWidth="1"/>
    <col min="12293" max="12293" width="7.5" bestFit="1" customWidth="1"/>
    <col min="12294" max="12294" width="15.375" bestFit="1" customWidth="1"/>
    <col min="12295" max="12295" width="7.5" bestFit="1" customWidth="1"/>
    <col min="12296" max="12296" width="16.875" bestFit="1" customWidth="1"/>
    <col min="12540" max="12540" width="2.875" customWidth="1"/>
    <col min="12541" max="12541" width="49" customWidth="1"/>
    <col min="12542" max="12542" width="16.875" bestFit="1" customWidth="1"/>
    <col min="12543" max="12543" width="13.625" bestFit="1" customWidth="1"/>
    <col min="12544" max="12544" width="15.375" bestFit="1" customWidth="1"/>
    <col min="12545" max="12545" width="7.5" bestFit="1" customWidth="1"/>
    <col min="12546" max="12546" width="15.25" customWidth="1"/>
    <col min="12547" max="12547" width="7.5" bestFit="1" customWidth="1"/>
    <col min="12548" max="12548" width="15.375" bestFit="1" customWidth="1"/>
    <col min="12549" max="12549" width="7.5" bestFit="1" customWidth="1"/>
    <col min="12550" max="12550" width="15.375" bestFit="1" customWidth="1"/>
    <col min="12551" max="12551" width="7.5" bestFit="1" customWidth="1"/>
    <col min="12552" max="12552" width="16.875" bestFit="1" customWidth="1"/>
    <col min="12796" max="12796" width="2.875" customWidth="1"/>
    <col min="12797" max="12797" width="49" customWidth="1"/>
    <col min="12798" max="12798" width="16.875" bestFit="1" customWidth="1"/>
    <col min="12799" max="12799" width="13.625" bestFit="1" customWidth="1"/>
    <col min="12800" max="12800" width="15.375" bestFit="1" customWidth="1"/>
    <col min="12801" max="12801" width="7.5" bestFit="1" customWidth="1"/>
    <col min="12802" max="12802" width="15.25" customWidth="1"/>
    <col min="12803" max="12803" width="7.5" bestFit="1" customWidth="1"/>
    <col min="12804" max="12804" width="15.375" bestFit="1" customWidth="1"/>
    <col min="12805" max="12805" width="7.5" bestFit="1" customWidth="1"/>
    <col min="12806" max="12806" width="15.375" bestFit="1" customWidth="1"/>
    <col min="12807" max="12807" width="7.5" bestFit="1" customWidth="1"/>
    <col min="12808" max="12808" width="16.875" bestFit="1" customWidth="1"/>
    <col min="13052" max="13052" width="2.875" customWidth="1"/>
    <col min="13053" max="13053" width="49" customWidth="1"/>
    <col min="13054" max="13054" width="16.875" bestFit="1" customWidth="1"/>
    <col min="13055" max="13055" width="13.625" bestFit="1" customWidth="1"/>
    <col min="13056" max="13056" width="15.375" bestFit="1" customWidth="1"/>
    <col min="13057" max="13057" width="7.5" bestFit="1" customWidth="1"/>
    <col min="13058" max="13058" width="15.25" customWidth="1"/>
    <col min="13059" max="13059" width="7.5" bestFit="1" customWidth="1"/>
    <col min="13060" max="13060" width="15.375" bestFit="1" customWidth="1"/>
    <col min="13061" max="13061" width="7.5" bestFit="1" customWidth="1"/>
    <col min="13062" max="13062" width="15.375" bestFit="1" customWidth="1"/>
    <col min="13063" max="13063" width="7.5" bestFit="1" customWidth="1"/>
    <col min="13064" max="13064" width="16.875" bestFit="1" customWidth="1"/>
    <col min="13308" max="13308" width="2.875" customWidth="1"/>
    <col min="13309" max="13309" width="49" customWidth="1"/>
    <col min="13310" max="13310" width="16.875" bestFit="1" customWidth="1"/>
    <col min="13311" max="13311" width="13.625" bestFit="1" customWidth="1"/>
    <col min="13312" max="13312" width="15.375" bestFit="1" customWidth="1"/>
    <col min="13313" max="13313" width="7.5" bestFit="1" customWidth="1"/>
    <col min="13314" max="13314" width="15.25" customWidth="1"/>
    <col min="13315" max="13315" width="7.5" bestFit="1" customWidth="1"/>
    <col min="13316" max="13316" width="15.375" bestFit="1" customWidth="1"/>
    <col min="13317" max="13317" width="7.5" bestFit="1" customWidth="1"/>
    <col min="13318" max="13318" width="15.375" bestFit="1" customWidth="1"/>
    <col min="13319" max="13319" width="7.5" bestFit="1" customWidth="1"/>
    <col min="13320" max="13320" width="16.875" bestFit="1" customWidth="1"/>
    <col min="13564" max="13564" width="2.875" customWidth="1"/>
    <col min="13565" max="13565" width="49" customWidth="1"/>
    <col min="13566" max="13566" width="16.875" bestFit="1" customWidth="1"/>
    <col min="13567" max="13567" width="13.625" bestFit="1" customWidth="1"/>
    <col min="13568" max="13568" width="15.375" bestFit="1" customWidth="1"/>
    <col min="13569" max="13569" width="7.5" bestFit="1" customWidth="1"/>
    <col min="13570" max="13570" width="15.25" customWidth="1"/>
    <col min="13571" max="13571" width="7.5" bestFit="1" customWidth="1"/>
    <col min="13572" max="13572" width="15.375" bestFit="1" customWidth="1"/>
    <col min="13573" max="13573" width="7.5" bestFit="1" customWidth="1"/>
    <col min="13574" max="13574" width="15.375" bestFit="1" customWidth="1"/>
    <col min="13575" max="13575" width="7.5" bestFit="1" customWidth="1"/>
    <col min="13576" max="13576" width="16.875" bestFit="1" customWidth="1"/>
    <col min="13820" max="13820" width="2.875" customWidth="1"/>
    <col min="13821" max="13821" width="49" customWidth="1"/>
    <col min="13822" max="13822" width="16.875" bestFit="1" customWidth="1"/>
    <col min="13823" max="13823" width="13.625" bestFit="1" customWidth="1"/>
    <col min="13824" max="13824" width="15.375" bestFit="1" customWidth="1"/>
    <col min="13825" max="13825" width="7.5" bestFit="1" customWidth="1"/>
    <col min="13826" max="13826" width="15.25" customWidth="1"/>
    <col min="13827" max="13827" width="7.5" bestFit="1" customWidth="1"/>
    <col min="13828" max="13828" width="15.375" bestFit="1" customWidth="1"/>
    <col min="13829" max="13829" width="7.5" bestFit="1" customWidth="1"/>
    <col min="13830" max="13830" width="15.375" bestFit="1" customWidth="1"/>
    <col min="13831" max="13831" width="7.5" bestFit="1" customWidth="1"/>
    <col min="13832" max="13832" width="16.875" bestFit="1" customWidth="1"/>
    <col min="14076" max="14076" width="2.875" customWidth="1"/>
    <col min="14077" max="14077" width="49" customWidth="1"/>
    <col min="14078" max="14078" width="16.875" bestFit="1" customWidth="1"/>
    <col min="14079" max="14079" width="13.625" bestFit="1" customWidth="1"/>
    <col min="14080" max="14080" width="15.375" bestFit="1" customWidth="1"/>
    <col min="14081" max="14081" width="7.5" bestFit="1" customWidth="1"/>
    <col min="14082" max="14082" width="15.25" customWidth="1"/>
    <col min="14083" max="14083" width="7.5" bestFit="1" customWidth="1"/>
    <col min="14084" max="14084" width="15.375" bestFit="1" customWidth="1"/>
    <col min="14085" max="14085" width="7.5" bestFit="1" customWidth="1"/>
    <col min="14086" max="14086" width="15.375" bestFit="1" customWidth="1"/>
    <col min="14087" max="14087" width="7.5" bestFit="1" customWidth="1"/>
    <col min="14088" max="14088" width="16.875" bestFit="1" customWidth="1"/>
    <col min="14332" max="14332" width="2.875" customWidth="1"/>
    <col min="14333" max="14333" width="49" customWidth="1"/>
    <col min="14334" max="14334" width="16.875" bestFit="1" customWidth="1"/>
    <col min="14335" max="14335" width="13.625" bestFit="1" customWidth="1"/>
    <col min="14336" max="14336" width="15.375" bestFit="1" customWidth="1"/>
    <col min="14337" max="14337" width="7.5" bestFit="1" customWidth="1"/>
    <col min="14338" max="14338" width="15.25" customWidth="1"/>
    <col min="14339" max="14339" width="7.5" bestFit="1" customWidth="1"/>
    <col min="14340" max="14340" width="15.375" bestFit="1" customWidth="1"/>
    <col min="14341" max="14341" width="7.5" bestFit="1" customWidth="1"/>
    <col min="14342" max="14342" width="15.375" bestFit="1" customWidth="1"/>
    <col min="14343" max="14343" width="7.5" bestFit="1" customWidth="1"/>
    <col min="14344" max="14344" width="16.875" bestFit="1" customWidth="1"/>
    <col min="14588" max="14588" width="2.875" customWidth="1"/>
    <col min="14589" max="14589" width="49" customWidth="1"/>
    <col min="14590" max="14590" width="16.875" bestFit="1" customWidth="1"/>
    <col min="14591" max="14591" width="13.625" bestFit="1" customWidth="1"/>
    <col min="14592" max="14592" width="15.375" bestFit="1" customWidth="1"/>
    <col min="14593" max="14593" width="7.5" bestFit="1" customWidth="1"/>
    <col min="14594" max="14594" width="15.25" customWidth="1"/>
    <col min="14595" max="14595" width="7.5" bestFit="1" customWidth="1"/>
    <col min="14596" max="14596" width="15.375" bestFit="1" customWidth="1"/>
    <col min="14597" max="14597" width="7.5" bestFit="1" customWidth="1"/>
    <col min="14598" max="14598" width="15.375" bestFit="1" customWidth="1"/>
    <col min="14599" max="14599" width="7.5" bestFit="1" customWidth="1"/>
    <col min="14600" max="14600" width="16.875" bestFit="1" customWidth="1"/>
    <col min="14844" max="14844" width="2.875" customWidth="1"/>
    <col min="14845" max="14845" width="49" customWidth="1"/>
    <col min="14846" max="14846" width="16.875" bestFit="1" customWidth="1"/>
    <col min="14847" max="14847" width="13.625" bestFit="1" customWidth="1"/>
    <col min="14848" max="14848" width="15.375" bestFit="1" customWidth="1"/>
    <col min="14849" max="14849" width="7.5" bestFit="1" customWidth="1"/>
    <col min="14850" max="14850" width="15.25" customWidth="1"/>
    <col min="14851" max="14851" width="7.5" bestFit="1" customWidth="1"/>
    <col min="14852" max="14852" width="15.375" bestFit="1" customWidth="1"/>
    <col min="14853" max="14853" width="7.5" bestFit="1" customWidth="1"/>
    <col min="14854" max="14854" width="15.375" bestFit="1" customWidth="1"/>
    <col min="14855" max="14855" width="7.5" bestFit="1" customWidth="1"/>
    <col min="14856" max="14856" width="16.875" bestFit="1" customWidth="1"/>
    <col min="15100" max="15100" width="2.875" customWidth="1"/>
    <col min="15101" max="15101" width="49" customWidth="1"/>
    <col min="15102" max="15102" width="16.875" bestFit="1" customWidth="1"/>
    <col min="15103" max="15103" width="13.625" bestFit="1" customWidth="1"/>
    <col min="15104" max="15104" width="15.375" bestFit="1" customWidth="1"/>
    <col min="15105" max="15105" width="7.5" bestFit="1" customWidth="1"/>
    <col min="15106" max="15106" width="15.25" customWidth="1"/>
    <col min="15107" max="15107" width="7.5" bestFit="1" customWidth="1"/>
    <col min="15108" max="15108" width="15.375" bestFit="1" customWidth="1"/>
    <col min="15109" max="15109" width="7.5" bestFit="1" customWidth="1"/>
    <col min="15110" max="15110" width="15.375" bestFit="1" customWidth="1"/>
    <col min="15111" max="15111" width="7.5" bestFit="1" customWidth="1"/>
    <col min="15112" max="15112" width="16.875" bestFit="1" customWidth="1"/>
    <col min="15356" max="15356" width="2.875" customWidth="1"/>
    <col min="15357" max="15357" width="49" customWidth="1"/>
    <col min="15358" max="15358" width="16.875" bestFit="1" customWidth="1"/>
    <col min="15359" max="15359" width="13.625" bestFit="1" customWidth="1"/>
    <col min="15360" max="15360" width="15.375" bestFit="1" customWidth="1"/>
    <col min="15361" max="15361" width="7.5" bestFit="1" customWidth="1"/>
    <col min="15362" max="15362" width="15.25" customWidth="1"/>
    <col min="15363" max="15363" width="7.5" bestFit="1" customWidth="1"/>
    <col min="15364" max="15364" width="15.375" bestFit="1" customWidth="1"/>
    <col min="15365" max="15365" width="7.5" bestFit="1" customWidth="1"/>
    <col min="15366" max="15366" width="15.375" bestFit="1" customWidth="1"/>
    <col min="15367" max="15367" width="7.5" bestFit="1" customWidth="1"/>
    <col min="15368" max="15368" width="16.875" bestFit="1" customWidth="1"/>
    <col min="15612" max="15612" width="2.875" customWidth="1"/>
    <col min="15613" max="15613" width="49" customWidth="1"/>
    <col min="15614" max="15614" width="16.875" bestFit="1" customWidth="1"/>
    <col min="15615" max="15615" width="13.625" bestFit="1" customWidth="1"/>
    <col min="15616" max="15616" width="15.375" bestFit="1" customWidth="1"/>
    <col min="15617" max="15617" width="7.5" bestFit="1" customWidth="1"/>
    <col min="15618" max="15618" width="15.25" customWidth="1"/>
    <col min="15619" max="15619" width="7.5" bestFit="1" customWidth="1"/>
    <col min="15620" max="15620" width="15.375" bestFit="1" customWidth="1"/>
    <col min="15621" max="15621" width="7.5" bestFit="1" customWidth="1"/>
    <col min="15622" max="15622" width="15.375" bestFit="1" customWidth="1"/>
    <col min="15623" max="15623" width="7.5" bestFit="1" customWidth="1"/>
    <col min="15624" max="15624" width="16.875" bestFit="1" customWidth="1"/>
    <col min="15868" max="15868" width="2.875" customWidth="1"/>
    <col min="15869" max="15869" width="49" customWidth="1"/>
    <col min="15870" max="15870" width="16.875" bestFit="1" customWidth="1"/>
    <col min="15871" max="15871" width="13.625" bestFit="1" customWidth="1"/>
    <col min="15872" max="15872" width="15.375" bestFit="1" customWidth="1"/>
    <col min="15873" max="15873" width="7.5" bestFit="1" customWidth="1"/>
    <col min="15874" max="15874" width="15.25" customWidth="1"/>
    <col min="15875" max="15875" width="7.5" bestFit="1" customWidth="1"/>
    <col min="15876" max="15876" width="15.375" bestFit="1" customWidth="1"/>
    <col min="15877" max="15877" width="7.5" bestFit="1" customWidth="1"/>
    <col min="15878" max="15878" width="15.375" bestFit="1" customWidth="1"/>
    <col min="15879" max="15879" width="7.5" bestFit="1" customWidth="1"/>
    <col min="15880" max="15880" width="16.875" bestFit="1" customWidth="1"/>
    <col min="16124" max="16124" width="2.875" customWidth="1"/>
    <col min="16125" max="16125" width="49" customWidth="1"/>
    <col min="16126" max="16126" width="16.875" bestFit="1" customWidth="1"/>
    <col min="16127" max="16127" width="13.625" bestFit="1" customWidth="1"/>
    <col min="16128" max="16128" width="15.375" bestFit="1" customWidth="1"/>
    <col min="16129" max="16129" width="7.5" bestFit="1" customWidth="1"/>
    <col min="16130" max="16130" width="15.25" customWidth="1"/>
    <col min="16131" max="16131" width="7.5" bestFit="1" customWidth="1"/>
    <col min="16132" max="16132" width="15.375" bestFit="1" customWidth="1"/>
    <col min="16133" max="16133" width="7.5" bestFit="1" customWidth="1"/>
    <col min="16134" max="16134" width="15.375" bestFit="1" customWidth="1"/>
    <col min="16135" max="16135" width="7.5" bestFit="1" customWidth="1"/>
    <col min="16136" max="16136" width="16.875" bestFit="1" customWidth="1"/>
  </cols>
  <sheetData>
    <row r="1" spans="2:9" s="8" customFormat="1" ht="24.95" customHeight="1" x14ac:dyDescent="0.25">
      <c r="B1" s="6" t="s">
        <v>366</v>
      </c>
      <c r="C1" s="6"/>
      <c r="D1" s="7"/>
      <c r="E1" s="7"/>
      <c r="F1" s="18"/>
      <c r="G1" s="18"/>
      <c r="H1" s="412"/>
    </row>
    <row r="2" spans="2:9" s="8" customFormat="1" ht="24.95" customHeight="1" x14ac:dyDescent="0.25">
      <c r="B2" s="9" t="s">
        <v>367</v>
      </c>
      <c r="C2" s="9"/>
      <c r="D2" s="7"/>
      <c r="E2" s="7"/>
      <c r="F2" s="18"/>
      <c r="G2" s="18"/>
      <c r="H2" s="412"/>
    </row>
    <row r="3" spans="2:9" ht="24.95" customHeight="1" x14ac:dyDescent="0.25">
      <c r="F3" s="411"/>
      <c r="G3" s="58"/>
    </row>
    <row r="4" spans="2:9" s="3" customFormat="1" ht="24.95" customHeight="1" x14ac:dyDescent="0.25">
      <c r="B4" s="32"/>
      <c r="C4" s="32"/>
      <c r="D4" s="58" t="s">
        <v>368</v>
      </c>
      <c r="E4" s="58" t="s">
        <v>369</v>
      </c>
      <c r="F4" s="58" t="s">
        <v>370</v>
      </c>
      <c r="G4" s="58" t="s">
        <v>371</v>
      </c>
      <c r="H4" s="414" t="s">
        <v>372</v>
      </c>
    </row>
    <row r="5" spans="2:9" s="3" customFormat="1" ht="5.25" customHeight="1" thickBot="1" x14ac:dyDescent="0.3">
      <c r="B5" s="32"/>
      <c r="C5" s="32"/>
      <c r="D5" s="58"/>
      <c r="E5" s="58"/>
      <c r="F5" s="58"/>
      <c r="G5" s="58"/>
      <c r="H5" s="414"/>
    </row>
    <row r="6" spans="2:9" s="3" customFormat="1" ht="24.95" customHeight="1" x14ac:dyDescent="0.2"/>
    <row r="7" spans="2:9" s="3" customFormat="1" ht="24.95" customHeight="1" thickBot="1" x14ac:dyDescent="0.3">
      <c r="B7" s="707" t="s">
        <v>373</v>
      </c>
      <c r="C7" s="708"/>
      <c r="D7" s="709">
        <v>1250</v>
      </c>
      <c r="E7" s="710"/>
      <c r="F7" s="709"/>
      <c r="G7" s="709"/>
      <c r="H7" s="711">
        <f>SUM(D7:G7)</f>
        <v>1250</v>
      </c>
    </row>
    <row r="8" spans="2:9" s="3" customFormat="1" ht="24.95" hidden="1" customHeight="1" thickBot="1" x14ac:dyDescent="0.25"/>
    <row r="9" spans="2:9" s="3" customFormat="1" ht="24.95" hidden="1" customHeight="1" thickBot="1" x14ac:dyDescent="0.3">
      <c r="B9" s="712" t="s">
        <v>374</v>
      </c>
      <c r="C9" s="713"/>
      <c r="D9" s="714"/>
      <c r="E9" s="715">
        <v>0</v>
      </c>
      <c r="F9" s="714"/>
      <c r="G9" s="714"/>
      <c r="H9" s="716">
        <f>SUM(D9:G9)</f>
        <v>0</v>
      </c>
    </row>
    <row r="10" spans="2:9" s="3" customFormat="1" ht="24.95" customHeight="1" thickBot="1" x14ac:dyDescent="0.25"/>
    <row r="11" spans="2:9" s="3" customFormat="1" ht="24.95" customHeight="1" x14ac:dyDescent="0.25">
      <c r="B11" s="92" t="s">
        <v>375</v>
      </c>
      <c r="C11" s="276"/>
      <c r="D11" s="277"/>
      <c r="E11" s="278"/>
      <c r="F11" s="277"/>
      <c r="G11" s="278"/>
      <c r="H11" s="429"/>
    </row>
    <row r="12" spans="2:9" s="3" customFormat="1" ht="24.95" hidden="1" customHeight="1" x14ac:dyDescent="0.25">
      <c r="B12" s="254"/>
      <c r="C12" s="280" t="s">
        <v>376</v>
      </c>
      <c r="D12" s="302"/>
      <c r="E12" s="340"/>
      <c r="F12" s="302"/>
      <c r="G12" s="340"/>
      <c r="H12" s="430">
        <f>SUM(D12:G12)</f>
        <v>0</v>
      </c>
    </row>
    <row r="13" spans="2:9" s="3" customFormat="1" ht="24.95" hidden="1" customHeight="1" x14ac:dyDescent="0.25">
      <c r="B13" s="254"/>
      <c r="C13" s="280" t="s">
        <v>377</v>
      </c>
      <c r="D13" s="302"/>
      <c r="E13" s="340"/>
      <c r="F13" s="302"/>
      <c r="G13" s="340"/>
      <c r="H13" s="430">
        <f>ROUND(SUM(D13:G13),5)</f>
        <v>0</v>
      </c>
      <c r="I13" s="7"/>
    </row>
    <row r="14" spans="2:9" s="3" customFormat="1" ht="24.95" customHeight="1" x14ac:dyDescent="0.25">
      <c r="B14" s="254"/>
      <c r="C14" s="280" t="s">
        <v>378</v>
      </c>
      <c r="D14" s="302">
        <v>22345.55</v>
      </c>
      <c r="E14" s="302">
        <v>12741.65</v>
      </c>
      <c r="F14" s="302">
        <v>22877.16</v>
      </c>
      <c r="G14" s="340"/>
      <c r="H14" s="430">
        <f>ROUND(SUM(D14:G14),5)</f>
        <v>57964.36</v>
      </c>
      <c r="I14" s="7"/>
    </row>
    <row r="15" spans="2:9" s="3" customFormat="1" ht="24.95" customHeight="1" x14ac:dyDescent="0.25">
      <c r="B15" s="254"/>
      <c r="C15" s="280" t="s">
        <v>379</v>
      </c>
      <c r="D15" s="302">
        <v>2846.14</v>
      </c>
      <c r="E15" s="302">
        <v>2542.27</v>
      </c>
      <c r="F15" s="302">
        <v>1318.59</v>
      </c>
      <c r="G15" s="749"/>
      <c r="H15" s="430">
        <f>ROUND(SUM(D15:G15),5)</f>
        <v>6707</v>
      </c>
      <c r="I15" s="7"/>
    </row>
    <row r="16" spans="2:9" s="3" customFormat="1" ht="24.95" customHeight="1" thickBot="1" x14ac:dyDescent="0.3">
      <c r="B16" s="144"/>
      <c r="C16" s="281" t="s">
        <v>380</v>
      </c>
      <c r="D16" s="593">
        <f>SUM(D12:D15)</f>
        <v>25191.69</v>
      </c>
      <c r="E16" s="593">
        <f>SUM(E12:E15)</f>
        <v>15283.92</v>
      </c>
      <c r="F16" s="593">
        <f>SUM(F12:F15)</f>
        <v>24195.75</v>
      </c>
      <c r="G16" s="594">
        <f>SUM(G11:G14)</f>
        <v>0</v>
      </c>
      <c r="H16" s="591">
        <f>SUM(H11:H15)</f>
        <v>64671.360000000001</v>
      </c>
      <c r="I16" s="7"/>
    </row>
    <row r="17" spans="2:9" s="3" customFormat="1" ht="24.95" customHeight="1" thickBot="1" x14ac:dyDescent="0.3">
      <c r="I17" s="7"/>
    </row>
    <row r="18" spans="2:9" s="3" customFormat="1" ht="24.95" customHeight="1" thickBot="1" x14ac:dyDescent="0.3">
      <c r="B18" s="707" t="s">
        <v>381</v>
      </c>
      <c r="C18" s="708"/>
      <c r="D18" s="709">
        <f>9450+3250</f>
        <v>12700</v>
      </c>
      <c r="E18" s="710"/>
      <c r="F18" s="750">
        <v>3250</v>
      </c>
      <c r="G18" s="750"/>
      <c r="H18" s="711">
        <f>SUM(D18:G18)</f>
        <v>15950</v>
      </c>
      <c r="I18" s="7"/>
    </row>
    <row r="19" spans="2:9" s="3" customFormat="1" ht="24.95" customHeight="1" thickBot="1" x14ac:dyDescent="0.3">
      <c r="B19" s="32"/>
      <c r="C19" s="32"/>
      <c r="D19" s="58"/>
      <c r="E19" s="58"/>
      <c r="F19" s="58"/>
      <c r="G19" s="58"/>
      <c r="H19" s="414"/>
      <c r="I19" s="7"/>
    </row>
    <row r="20" spans="2:9" s="3" customFormat="1" ht="24.95" customHeight="1" x14ac:dyDescent="0.25">
      <c r="B20" s="86" t="s">
        <v>382</v>
      </c>
      <c r="C20" s="627"/>
      <c r="D20" s="628">
        <v>4599.6099999999997</v>
      </c>
      <c r="E20" s="628">
        <v>3794.61</v>
      </c>
      <c r="F20" s="628"/>
      <c r="G20" s="628"/>
      <c r="H20" s="629">
        <f>SUM(D20:G20)</f>
        <v>8394.2199999999993</v>
      </c>
      <c r="I20" s="7"/>
    </row>
    <row r="21" spans="2:9" s="3" customFormat="1" ht="24.95" hidden="1" customHeight="1" thickBot="1" x14ac:dyDescent="0.3">
      <c r="B21" s="717" t="s">
        <v>383</v>
      </c>
      <c r="C21" s="673"/>
      <c r="D21" s="137">
        <v>0</v>
      </c>
      <c r="E21" s="137"/>
      <c r="F21" s="137"/>
      <c r="G21" s="137"/>
      <c r="H21" s="665">
        <f>SUM(D21:G21)</f>
        <v>0</v>
      </c>
      <c r="I21" s="7"/>
    </row>
    <row r="22" spans="2:9" s="3" customFormat="1" ht="6.75" customHeight="1" thickBot="1" x14ac:dyDescent="0.3">
      <c r="B22" s="32"/>
      <c r="C22" s="32"/>
      <c r="D22" s="58"/>
      <c r="E22" s="58"/>
      <c r="F22" s="58"/>
      <c r="G22" s="58"/>
      <c r="H22" s="414"/>
      <c r="I22" s="7"/>
    </row>
    <row r="23" spans="2:9" s="3" customFormat="1" ht="24.95" customHeight="1" x14ac:dyDescent="0.25">
      <c r="B23" s="86" t="s">
        <v>384</v>
      </c>
      <c r="C23" s="627"/>
      <c r="D23" s="628">
        <f>13448.76+10944.89</f>
        <v>24393.65</v>
      </c>
      <c r="E23" s="628">
        <v>10152.01</v>
      </c>
      <c r="F23" s="628">
        <v>200</v>
      </c>
      <c r="G23" s="628"/>
      <c r="H23" s="629">
        <f>SUM(D23:G23)</f>
        <v>34745.660000000003</v>
      </c>
      <c r="I23" s="7"/>
    </row>
    <row r="24" spans="2:9" s="3" customFormat="1" ht="6.75" customHeight="1" x14ac:dyDescent="0.25">
      <c r="B24" s="32"/>
      <c r="C24" s="32"/>
      <c r="D24" s="58"/>
      <c r="E24" s="58"/>
      <c r="F24" s="58"/>
      <c r="G24" s="58"/>
      <c r="H24" s="414"/>
      <c r="I24" s="7"/>
    </row>
    <row r="25" spans="2:9" s="3" customFormat="1" ht="24.95" customHeight="1" x14ac:dyDescent="0.25">
      <c r="B25" s="86" t="s">
        <v>385</v>
      </c>
      <c r="C25" s="627"/>
      <c r="D25" s="628">
        <v>2500</v>
      </c>
      <c r="E25" s="628"/>
      <c r="F25" s="628"/>
      <c r="G25" s="628"/>
      <c r="H25" s="629">
        <f>SUM(D25:G25)</f>
        <v>2500</v>
      </c>
      <c r="I25" s="7"/>
    </row>
    <row r="26" spans="2:9" s="3" customFormat="1" ht="24.95" customHeight="1" x14ac:dyDescent="0.25">
      <c r="B26" s="32"/>
      <c r="C26" s="32"/>
      <c r="D26" s="58"/>
      <c r="E26" s="58"/>
      <c r="F26" s="58"/>
      <c r="G26" s="58"/>
      <c r="H26" s="414"/>
      <c r="I26" s="7"/>
    </row>
    <row r="27" spans="2:9" s="3" customFormat="1" ht="24.95" customHeight="1" x14ac:dyDescent="0.25">
      <c r="B27" s="641" t="s">
        <v>386</v>
      </c>
      <c r="C27" s="630"/>
      <c r="D27" s="631"/>
      <c r="E27" s="631"/>
      <c r="F27" s="632"/>
      <c r="G27" s="632"/>
      <c r="H27" s="633"/>
      <c r="I27" s="7"/>
    </row>
    <row r="28" spans="2:9" s="3" customFormat="1" ht="24.95" customHeight="1" x14ac:dyDescent="0.25">
      <c r="B28" s="777"/>
      <c r="C28" s="634" t="s">
        <v>387</v>
      </c>
      <c r="D28" s="635"/>
      <c r="E28" s="635">
        <v>48150</v>
      </c>
      <c r="F28" s="636"/>
      <c r="G28" s="636"/>
      <c r="H28" s="637">
        <f>SUM(D28:G28)</f>
        <v>48150</v>
      </c>
      <c r="I28" s="7"/>
    </row>
    <row r="29" spans="2:9" s="3" customFormat="1" ht="24.95" customHeight="1" x14ac:dyDescent="0.25">
      <c r="B29" s="776"/>
      <c r="C29" s="634" t="s">
        <v>388</v>
      </c>
      <c r="D29" s="635">
        <v>20764</v>
      </c>
      <c r="E29" s="635"/>
      <c r="F29" s="635"/>
      <c r="G29" s="635"/>
      <c r="H29" s="637">
        <f>SUM(D29:G29)</f>
        <v>20764</v>
      </c>
      <c r="I29" s="7"/>
    </row>
    <row r="30" spans="2:9" s="3" customFormat="1" ht="24.95" customHeight="1" thickBot="1" x14ac:dyDescent="0.3">
      <c r="B30" s="643"/>
      <c r="C30" s="638" t="s">
        <v>389</v>
      </c>
      <c r="D30" s="639">
        <f>SUM(D29)</f>
        <v>20764</v>
      </c>
      <c r="E30" s="639">
        <f>SUM(E28:E28)</f>
        <v>48150</v>
      </c>
      <c r="F30" s="639">
        <f>SUM(F28:F28)</f>
        <v>0</v>
      </c>
      <c r="G30" s="639">
        <f>SUM(G28:G28)</f>
        <v>0</v>
      </c>
      <c r="H30" s="640">
        <f>SUM(H27:H29)</f>
        <v>68914</v>
      </c>
    </row>
    <row r="31" spans="2:9" s="3" customFormat="1" ht="24.95" customHeight="1" thickBot="1" x14ac:dyDescent="0.3">
      <c r="B31" s="32"/>
      <c r="C31" s="32"/>
      <c r="D31" s="58"/>
      <c r="E31" s="58"/>
      <c r="F31" s="58"/>
      <c r="G31" s="58"/>
      <c r="H31" s="414"/>
    </row>
    <row r="32" spans="2:9" s="3" customFormat="1" ht="24.95" customHeight="1" x14ac:dyDescent="0.25">
      <c r="B32" s="857" t="s">
        <v>390</v>
      </c>
      <c r="C32" s="858"/>
      <c r="D32" s="644"/>
      <c r="E32" s="644"/>
      <c r="F32" s="645"/>
      <c r="G32" s="645"/>
      <c r="H32" s="646"/>
    </row>
    <row r="33" spans="1:79" s="3" customFormat="1" ht="24.95" hidden="1" customHeight="1" x14ac:dyDescent="0.25">
      <c r="B33" s="254"/>
      <c r="C33" s="647" t="s">
        <v>391</v>
      </c>
      <c r="D33" s="340"/>
      <c r="E33" s="340">
        <v>0</v>
      </c>
      <c r="F33" s="302">
        <v>0</v>
      </c>
      <c r="G33" s="302"/>
      <c r="H33" s="648">
        <f>ROUND(SUM(D33:G33),5)</f>
        <v>0</v>
      </c>
    </row>
    <row r="34" spans="1:79" s="3" customFormat="1" ht="24.95" customHeight="1" x14ac:dyDescent="0.25">
      <c r="B34" s="254"/>
      <c r="C34" s="647" t="s">
        <v>392</v>
      </c>
      <c r="D34" s="340"/>
      <c r="E34" s="340"/>
      <c r="F34" s="340"/>
      <c r="G34" s="302"/>
      <c r="H34" s="648">
        <f>ROUND(SUM(D34:G34),5)</f>
        <v>0</v>
      </c>
    </row>
    <row r="35" spans="1:79" s="3" customFormat="1" ht="24.95" customHeight="1" thickBot="1" x14ac:dyDescent="0.3">
      <c r="B35" s="649"/>
      <c r="C35" s="281" t="s">
        <v>393</v>
      </c>
      <c r="D35" s="650">
        <f>SUM(D32:D34)</f>
        <v>0</v>
      </c>
      <c r="E35" s="650">
        <f>SUM(E32:E34)</f>
        <v>0</v>
      </c>
      <c r="F35" s="650">
        <f>SUM(F32:F34)</f>
        <v>0</v>
      </c>
      <c r="G35" s="650">
        <f>SUM(G32:G34)</f>
        <v>0</v>
      </c>
      <c r="H35" s="651">
        <f>SUM(D35:G35)</f>
        <v>0</v>
      </c>
    </row>
    <row r="36" spans="1:79" s="3" customFormat="1" ht="24.95" customHeight="1" thickBot="1" x14ac:dyDescent="0.25">
      <c r="B36" s="124"/>
      <c r="C36" s="124"/>
      <c r="D36" s="124"/>
      <c r="E36" s="124"/>
      <c r="F36" s="124"/>
      <c r="G36" s="124"/>
      <c r="H36" s="124"/>
    </row>
    <row r="37" spans="1:79" s="3" customFormat="1" ht="24.95" customHeight="1" x14ac:dyDescent="0.25">
      <c r="B37" s="652" t="s">
        <v>394</v>
      </c>
      <c r="C37" s="653"/>
      <c r="D37" s="654"/>
      <c r="E37" s="654"/>
      <c r="F37" s="655"/>
      <c r="G37" s="655"/>
      <c r="H37" s="656"/>
    </row>
    <row r="38" spans="1:79" s="3" customFormat="1" ht="24.95" customHeight="1" x14ac:dyDescent="0.25">
      <c r="B38" s="657"/>
      <c r="C38" s="658" t="s">
        <v>395</v>
      </c>
      <c r="D38" s="662">
        <f>4500+3000</f>
        <v>7500</v>
      </c>
      <c r="E38" s="662"/>
      <c r="F38" s="118"/>
      <c r="G38" s="118"/>
      <c r="H38" s="423">
        <f t="shared" ref="H38:H42" si="0">ROUND(SUM(D38:G38),5)</f>
        <v>7500</v>
      </c>
    </row>
    <row r="39" spans="1:79" s="3" customFormat="1" ht="24.95" customHeight="1" x14ac:dyDescent="0.25">
      <c r="B39" s="657"/>
      <c r="C39" s="658" t="s">
        <v>396</v>
      </c>
      <c r="D39" s="662"/>
      <c r="E39" s="662">
        <v>0</v>
      </c>
      <c r="F39" s="118"/>
      <c r="G39" s="118">
        <v>7500</v>
      </c>
      <c r="H39" s="423">
        <f t="shared" si="0"/>
        <v>7500</v>
      </c>
    </row>
    <row r="40" spans="1:79" s="3" customFormat="1" ht="24.95" hidden="1" customHeight="1" x14ac:dyDescent="0.25">
      <c r="B40" s="657"/>
      <c r="C40" s="658" t="s">
        <v>397</v>
      </c>
      <c r="D40" s="117"/>
      <c r="E40" s="117"/>
      <c r="F40" s="118"/>
      <c r="G40" s="118">
        <v>0</v>
      </c>
      <c r="H40" s="423">
        <f t="shared" si="0"/>
        <v>0</v>
      </c>
    </row>
    <row r="41" spans="1:79" s="3" customFormat="1" ht="24.95" customHeight="1" x14ac:dyDescent="0.25">
      <c r="B41" s="657"/>
      <c r="C41" s="658" t="s">
        <v>398</v>
      </c>
      <c r="D41" s="117"/>
      <c r="E41" s="117"/>
      <c r="F41" s="118"/>
      <c r="G41" s="118"/>
      <c r="H41" s="423">
        <f t="shared" si="0"/>
        <v>0</v>
      </c>
    </row>
    <row r="42" spans="1:79" s="3" customFormat="1" ht="24.95" customHeight="1" x14ac:dyDescent="0.25">
      <c r="B42" s="657"/>
      <c r="C42" s="658" t="s">
        <v>397</v>
      </c>
      <c r="D42" s="117"/>
      <c r="E42" s="117"/>
      <c r="F42" s="118"/>
      <c r="G42" s="118">
        <v>120</v>
      </c>
      <c r="H42" s="423">
        <f t="shared" si="0"/>
        <v>120</v>
      </c>
    </row>
    <row r="43" spans="1:79" s="3" customFormat="1" ht="24.95" customHeight="1" x14ac:dyDescent="0.25">
      <c r="B43" s="657"/>
      <c r="C43" s="658" t="s">
        <v>181</v>
      </c>
      <c r="D43" s="117">
        <f>9770.37+8000</f>
        <v>17770.370000000003</v>
      </c>
      <c r="E43" s="117">
        <v>18056.5</v>
      </c>
      <c r="F43" s="118">
        <v>17044.78</v>
      </c>
      <c r="G43" s="118"/>
      <c r="H43" s="423">
        <f>ROUND(SUM(D43:G43),5)</f>
        <v>52871.65</v>
      </c>
    </row>
    <row r="44" spans="1:79" s="3" customFormat="1" ht="24.95" customHeight="1" x14ac:dyDescent="0.25">
      <c r="B44" s="657"/>
      <c r="C44" s="658" t="s">
        <v>399</v>
      </c>
      <c r="D44" s="662">
        <v>4291.67</v>
      </c>
      <c r="E44" s="662">
        <v>4291.66</v>
      </c>
      <c r="F44" s="118">
        <v>4292</v>
      </c>
      <c r="G44" s="118"/>
      <c r="H44" s="423">
        <f>ROUND(SUM(D44:G44),5)</f>
        <v>12875.33</v>
      </c>
    </row>
    <row r="45" spans="1:79" ht="24.95" customHeight="1" x14ac:dyDescent="0.25">
      <c r="A45" s="3"/>
      <c r="B45" s="661"/>
      <c r="C45" s="658" t="s">
        <v>400</v>
      </c>
      <c r="D45" s="662"/>
      <c r="E45" s="662">
        <v>1200</v>
      </c>
      <c r="F45" s="118"/>
      <c r="G45" s="118"/>
      <c r="H45" s="423">
        <f>ROUND(SUM(D45:G45),5)</f>
        <v>1200</v>
      </c>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row>
    <row r="46" spans="1:79" s="147" customFormat="1" ht="24.95" customHeight="1" x14ac:dyDescent="0.25">
      <c r="A46" s="3"/>
      <c r="B46" s="661"/>
      <c r="C46" s="658" t="s">
        <v>401</v>
      </c>
      <c r="D46" s="662">
        <v>5000</v>
      </c>
      <c r="E46" s="662"/>
      <c r="F46" s="118"/>
      <c r="G46" s="118"/>
      <c r="H46" s="423">
        <f>ROUND(SUM(D46:G46),5)</f>
        <v>5000</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row>
    <row r="47" spans="1:79" s="125" customFormat="1" ht="24.95" customHeight="1" x14ac:dyDescent="0.25">
      <c r="A47" s="3"/>
      <c r="B47" s="663"/>
      <c r="C47" s="664" t="s">
        <v>402</v>
      </c>
      <c r="D47" s="136">
        <f>SUM(D37:D46)</f>
        <v>34562.04</v>
      </c>
      <c r="E47" s="136">
        <f>SUM(E37:E45)</f>
        <v>23548.16</v>
      </c>
      <c r="F47" s="136">
        <f>SUM(F37:F45)</f>
        <v>21336.78</v>
      </c>
      <c r="G47" s="136">
        <f>SUM(G37:G46)</f>
        <v>7620</v>
      </c>
      <c r="H47" s="665">
        <f>SUM(H37:H46)</f>
        <v>87066.98</v>
      </c>
      <c r="I47" s="752"/>
      <c r="J47" s="124"/>
      <c r="K47" s="124"/>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row>
    <row r="48" spans="1:79" s="125" customFormat="1" ht="24.95" customHeight="1" thickBot="1" x14ac:dyDescent="0.3">
      <c r="A48" s="3"/>
      <c r="B48" s="124"/>
      <c r="C48" s="124"/>
      <c r="D48" s="124"/>
      <c r="E48" s="124"/>
      <c r="F48" s="124"/>
      <c r="G48" s="124"/>
      <c r="H48" s="124"/>
      <c r="I48" s="752"/>
      <c r="J48" s="124"/>
      <c r="K48" s="124"/>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row>
    <row r="49" spans="1:79" s="74" customFormat="1" ht="24.95" hidden="1" customHeight="1" x14ac:dyDescent="0.25">
      <c r="A49" s="3"/>
      <c r="B49" s="859" t="s">
        <v>403</v>
      </c>
      <c r="C49" s="860"/>
      <c r="D49" s="612"/>
      <c r="E49" s="612"/>
      <c r="F49" s="612"/>
      <c r="G49" s="613"/>
      <c r="H49" s="615">
        <f>SUM(D49:G49)</f>
        <v>0</v>
      </c>
      <c r="I49" s="8"/>
      <c r="J49"/>
      <c r="K49"/>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row>
    <row r="50" spans="1:79" ht="24.95" hidden="1" customHeight="1" x14ac:dyDescent="0.25">
      <c r="A50" s="3"/>
      <c r="B50" s="598" t="s">
        <v>404</v>
      </c>
      <c r="C50" s="599"/>
      <c r="D50" s="600"/>
      <c r="E50" s="601"/>
      <c r="F50" s="601"/>
      <c r="G50" s="609"/>
      <c r="H50" s="602">
        <f>SUM(D50:G50)</f>
        <v>0</v>
      </c>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row>
    <row r="51" spans="1:79" s="74" customFormat="1" ht="24.95" customHeight="1" thickBot="1" x14ac:dyDescent="0.3">
      <c r="A51" s="3"/>
      <c r="B51" s="680" t="s">
        <v>405</v>
      </c>
      <c r="C51" s="670"/>
      <c r="D51" s="284"/>
      <c r="E51" s="671"/>
      <c r="F51" s="284"/>
      <c r="G51" s="671"/>
      <c r="H51" s="672">
        <f>SUM(D51:G51)</f>
        <v>0</v>
      </c>
      <c r="I51" s="8"/>
      <c r="J51"/>
      <c r="K51"/>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row>
    <row r="52" spans="1:79" s="74" customFormat="1" ht="24.95" customHeight="1" thickBot="1" x14ac:dyDescent="0.3">
      <c r="A52" s="3"/>
      <c r="B52" s="73"/>
      <c r="C52" s="73"/>
      <c r="D52" s="109"/>
      <c r="E52" s="109"/>
      <c r="F52" s="109"/>
      <c r="G52" s="109"/>
      <c r="H52" s="428"/>
      <c r="I52" s="8"/>
      <c r="J52"/>
      <c r="K52"/>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row>
    <row r="53" spans="1:79" s="74" customFormat="1" ht="24.95" customHeight="1" thickBot="1" x14ac:dyDescent="0.3">
      <c r="A53" s="3"/>
      <c r="B53" s="666"/>
      <c r="C53" s="667" t="s">
        <v>406</v>
      </c>
      <c r="D53" s="668">
        <f>D7+D18+D35+D30+D47+D16+D21+D23+D51+D50+D9+D49+D25+D20</f>
        <v>125960.99</v>
      </c>
      <c r="E53" s="668">
        <f>E7+E18+E35+E30+E47+E16+E21+E23+E51+E50+E9+E49+E25+E20</f>
        <v>100928.7</v>
      </c>
      <c r="F53" s="668">
        <f>F7+F18+F35+F30+F47+F16+F21+F23+F51+F50+F9+F49+F25+F20</f>
        <v>48982.53</v>
      </c>
      <c r="G53" s="668">
        <f>G7+G18+G35+G30+G47+G16+G21+G23+G51+G50+G9+G49+G25+G20</f>
        <v>7620</v>
      </c>
      <c r="H53" s="668">
        <f>H7+H18+H35+H30+H47+H16+H21+H23+H51+H50+H9+H49+H25+H20</f>
        <v>283492.21999999997</v>
      </c>
      <c r="I53" s="8"/>
      <c r="J53"/>
      <c r="K53" s="747"/>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row>
    <row r="54" spans="1:79" s="74" customFormat="1" ht="24.95" customHeight="1" x14ac:dyDescent="0.25">
      <c r="A54" s="3"/>
      <c r="B54" s="448"/>
      <c r="C54" s="449"/>
      <c r="D54" s="450"/>
      <c r="E54" s="450"/>
      <c r="F54" s="450"/>
      <c r="G54" s="450"/>
      <c r="H54" s="451"/>
      <c r="I54" s="778"/>
      <c r="J54"/>
      <c r="K54"/>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row>
    <row r="55" spans="1:79" ht="24.95" customHeight="1" x14ac:dyDescent="0.25">
      <c r="A55" s="3"/>
      <c r="B55" s="75"/>
      <c r="C55" s="446" t="s">
        <v>407</v>
      </c>
      <c r="D55" s="447">
        <f>D53/H$53</f>
        <v>0.44431903633898673</v>
      </c>
      <c r="E55" s="447">
        <f>E53/$H53</f>
        <v>0.35601929393335735</v>
      </c>
      <c r="F55" s="447">
        <f t="shared" ref="F55:H55" si="1">F53/$H53</f>
        <v>0.17278262521631108</v>
      </c>
      <c r="G55" s="447">
        <f t="shared" si="1"/>
        <v>2.6879044511344971E-2</v>
      </c>
      <c r="H55" s="447">
        <f t="shared" si="1"/>
        <v>1</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row>
    <row r="56" spans="1:79" ht="24.95" customHeight="1" x14ac:dyDescent="0.25">
      <c r="A56" s="3"/>
      <c r="B56" s="75"/>
      <c r="C56" s="75"/>
      <c r="D56" s="123"/>
      <c r="E56" s="123"/>
      <c r="F56" s="123"/>
      <c r="G56" s="12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row>
    <row r="57" spans="1:79" ht="24.95" customHeight="1" x14ac:dyDescent="0.3">
      <c r="A57" s="3"/>
      <c r="C57" s="766" t="s">
        <v>408</v>
      </c>
      <c r="D57" s="767"/>
      <c r="E57" s="767"/>
      <c r="F57" s="767"/>
      <c r="G57" s="767"/>
      <c r="H57" s="768"/>
      <c r="I57" s="769"/>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row>
    <row r="58" spans="1:79" s="124" customFormat="1" ht="20.100000000000001" customHeight="1" x14ac:dyDescent="0.3">
      <c r="A58" s="3"/>
      <c r="B58" s="33"/>
      <c r="C58" s="770"/>
      <c r="D58" s="767"/>
      <c r="E58" s="767"/>
      <c r="F58" s="767"/>
      <c r="G58" s="767"/>
      <c r="H58" s="768"/>
      <c r="I58" s="770"/>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row>
    <row r="59" spans="1:79" s="124" customFormat="1" ht="20.100000000000001" customHeight="1" x14ac:dyDescent="0.3">
      <c r="A59" s="3"/>
      <c r="B59" s="33"/>
      <c r="C59" s="752" t="s">
        <v>409</v>
      </c>
      <c r="D59" s="775">
        <v>8394.2199999999993</v>
      </c>
      <c r="E59" s="767"/>
      <c r="F59" s="767"/>
      <c r="G59" s="767"/>
      <c r="H59" s="768"/>
      <c r="I59" s="770"/>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row>
    <row r="60" spans="1:79" ht="20.100000000000001" customHeight="1" x14ac:dyDescent="0.3">
      <c r="A60" s="3"/>
      <c r="C60" s="752" t="s">
        <v>410</v>
      </c>
      <c r="D60" s="771">
        <v>10352.01</v>
      </c>
      <c r="E60" s="767"/>
      <c r="F60" s="767"/>
      <c r="G60" s="767"/>
      <c r="H60" s="768"/>
      <c r="I60" s="769"/>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row>
    <row r="61" spans="1:79" ht="20.100000000000001" customHeight="1" x14ac:dyDescent="0.3">
      <c r="A61" s="3"/>
      <c r="C61" s="752" t="s">
        <v>386</v>
      </c>
      <c r="D61" s="771">
        <v>18352.53</v>
      </c>
      <c r="E61" s="767"/>
      <c r="F61" s="767"/>
      <c r="G61" s="767"/>
      <c r="H61" s="768"/>
      <c r="I61" s="769"/>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row>
    <row r="62" spans="1:79" ht="20.100000000000001" customHeight="1" x14ac:dyDescent="0.3">
      <c r="A62" s="3"/>
      <c r="C62" s="752" t="s">
        <v>395</v>
      </c>
      <c r="D62" s="775">
        <v>4500</v>
      </c>
      <c r="E62" s="767"/>
      <c r="F62" s="767"/>
      <c r="G62" s="767"/>
      <c r="H62" s="768"/>
      <c r="I62" s="769"/>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row>
    <row r="63" spans="1:79" ht="20.100000000000001" customHeight="1" x14ac:dyDescent="0.25">
      <c r="A63" s="3"/>
      <c r="C63" s="752" t="s">
        <v>396</v>
      </c>
      <c r="D63" s="775">
        <v>7500</v>
      </c>
    </row>
    <row r="64" spans="1:79" ht="20.100000000000001" customHeight="1" x14ac:dyDescent="0.25">
      <c r="A64" s="3"/>
      <c r="C64" s="752" t="s">
        <v>181</v>
      </c>
      <c r="D64" s="775">
        <f>9770.37+18056.5+17044.78</f>
        <v>44871.65</v>
      </c>
    </row>
    <row r="65" spans="1:4" ht="20.100000000000001" customHeight="1" x14ac:dyDescent="0.25">
      <c r="A65" s="3"/>
      <c r="C65" s="752" t="s">
        <v>411</v>
      </c>
      <c r="D65" s="772">
        <f>SUM(D59:D64)</f>
        <v>93970.41</v>
      </c>
    </row>
    <row r="66" spans="1:4" ht="20.100000000000001" customHeight="1" x14ac:dyDescent="0.25">
      <c r="A66" s="3"/>
      <c r="C66" s="73"/>
      <c r="D66" s="771"/>
    </row>
    <row r="67" spans="1:4" ht="20.100000000000001" customHeight="1" x14ac:dyDescent="0.25">
      <c r="C67" s="773" t="s">
        <v>412</v>
      </c>
      <c r="D67" s="774">
        <f>H53-D65</f>
        <v>189521.80999999997</v>
      </c>
    </row>
    <row r="68" spans="1:4" ht="18.75" thickTop="1" x14ac:dyDescent="0.25"/>
    <row r="69" spans="1:4" ht="20.100000000000001" hidden="1" customHeight="1" x14ac:dyDescent="0.25">
      <c r="C69" s="214" t="s">
        <v>413</v>
      </c>
      <c r="D69" s="123"/>
    </row>
    <row r="110" spans="4:4" hidden="1" x14ac:dyDescent="0.25">
      <c r="D110" s="249">
        <v>2000</v>
      </c>
    </row>
    <row r="112" spans="4:4" hidden="1" x14ac:dyDescent="0.25">
      <c r="D112" s="362">
        <v>34547.15</v>
      </c>
    </row>
    <row r="113" spans="4:4" hidden="1" x14ac:dyDescent="0.25">
      <c r="D113" s="362"/>
    </row>
    <row r="114" spans="4:4" hidden="1" x14ac:dyDescent="0.25">
      <c r="D114" s="362"/>
    </row>
    <row r="115" spans="4:4" hidden="1" x14ac:dyDescent="0.25">
      <c r="D115" s="362"/>
    </row>
    <row r="116" spans="4:4" hidden="1" x14ac:dyDescent="0.25">
      <c r="D116" s="123"/>
    </row>
    <row r="117" spans="4:4" x14ac:dyDescent="0.25">
      <c r="D117" s="123"/>
    </row>
    <row r="118" spans="4:4" ht="16.5" customHeight="1" x14ac:dyDescent="0.25">
      <c r="D118" s="123"/>
    </row>
    <row r="119" spans="4:4" ht="16.5" customHeight="1" x14ac:dyDescent="0.25">
      <c r="D119" s="123"/>
    </row>
    <row r="120" spans="4:4" ht="16.5" hidden="1" customHeight="1" x14ac:dyDescent="0.25">
      <c r="D120" s="407">
        <f>SUM(D112:D119)</f>
        <v>34547.15</v>
      </c>
    </row>
    <row r="193" spans="3:8" hidden="1" x14ac:dyDescent="0.25">
      <c r="D193" s="213">
        <v>41698</v>
      </c>
      <c r="E193" s="213">
        <v>41609</v>
      </c>
      <c r="F193" s="213">
        <v>41548</v>
      </c>
      <c r="G193" s="213">
        <v>41487</v>
      </c>
      <c r="H193" s="413">
        <v>41426</v>
      </c>
    </row>
    <row r="194" spans="3:8" hidden="1" x14ac:dyDescent="0.25">
      <c r="C194" s="33" t="s">
        <v>414</v>
      </c>
      <c r="D194" s="146">
        <f>D53</f>
        <v>125960.99</v>
      </c>
      <c r="E194" s="146">
        <f>105452.64+311868.06-305987</f>
        <v>111333.70000000001</v>
      </c>
      <c r="F194" s="146">
        <v>85798.300000000017</v>
      </c>
      <c r="G194" s="123">
        <f>53253.08+18642.89</f>
        <v>71895.97</v>
      </c>
      <c r="H194" s="413">
        <v>126315</v>
      </c>
    </row>
    <row r="195" spans="3:8" hidden="1" x14ac:dyDescent="0.25">
      <c r="C195" s="33" t="s">
        <v>415</v>
      </c>
      <c r="D195" s="146">
        <f>E53</f>
        <v>100928.7</v>
      </c>
      <c r="E195" s="146">
        <f>74767.18-13600.56</f>
        <v>61166.619999999995</v>
      </c>
      <c r="F195" s="146">
        <v>86248.31</v>
      </c>
      <c r="G195" s="123">
        <v>43187.16</v>
      </c>
      <c r="H195" s="413">
        <v>60049</v>
      </c>
    </row>
    <row r="196" spans="3:8" hidden="1" x14ac:dyDescent="0.25">
      <c r="C196" s="33" t="s">
        <v>416</v>
      </c>
      <c r="D196" s="146">
        <f>F53</f>
        <v>48982.53</v>
      </c>
      <c r="E196" s="146">
        <f>66720.93-13675.33</f>
        <v>53045.599999999991</v>
      </c>
      <c r="F196" s="146">
        <v>32950.589999999997</v>
      </c>
      <c r="G196" s="123">
        <v>65970.55</v>
      </c>
      <c r="H196" s="413">
        <v>18719</v>
      </c>
    </row>
    <row r="197" spans="3:8" hidden="1" x14ac:dyDescent="0.25">
      <c r="C197" s="33" t="s">
        <v>417</v>
      </c>
      <c r="D197" s="146">
        <f>G53</f>
        <v>7620</v>
      </c>
      <c r="E197" s="146">
        <v>86322.43</v>
      </c>
      <c r="F197" s="146">
        <v>66109.450000000012</v>
      </c>
      <c r="G197" s="123">
        <v>56011.13</v>
      </c>
      <c r="H197" s="413">
        <v>1250</v>
      </c>
    </row>
    <row r="198" spans="3:8" hidden="1" x14ac:dyDescent="0.25">
      <c r="D198" s="146">
        <f>SUM(D194:D197)</f>
        <v>283492.21999999997</v>
      </c>
      <c r="E198" s="146">
        <f>SUM(E194:E197)</f>
        <v>311868.34999999998</v>
      </c>
      <c r="F198" s="146">
        <v>271106.65000000002</v>
      </c>
      <c r="G198" s="123">
        <f>SUM(G194:G197)</f>
        <v>237064.81</v>
      </c>
      <c r="H198" s="413">
        <f t="shared" ref="H198" si="2">SUM(H194:H197)</f>
        <v>206333</v>
      </c>
    </row>
  </sheetData>
  <mergeCells count="2">
    <mergeCell ref="B32:C32"/>
    <mergeCell ref="B49:C49"/>
  </mergeCells>
  <pageMargins left="0.7" right="0.7" top="0.75" bottom="0.75" header="0.3" footer="0.3"/>
  <pageSetup scale="4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efce3ed-08e0-4c32-8d85-98b9cc048c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C195DD4D368D448916F642D1065C77" ma:contentTypeVersion="12" ma:contentTypeDescription="Create a new document." ma:contentTypeScope="" ma:versionID="2404251b7d1ca2c212d3bf41774a9320">
  <xsd:schema xmlns:xsd="http://www.w3.org/2001/XMLSchema" xmlns:xs="http://www.w3.org/2001/XMLSchema" xmlns:p="http://schemas.microsoft.com/office/2006/metadata/properties" xmlns:ns3="5efce3ed-08e0-4c32-8d85-98b9cc048c0f" xmlns:ns4="aa661604-bd61-453b-8bd8-7a25c2b72c2b" targetNamespace="http://schemas.microsoft.com/office/2006/metadata/properties" ma:root="true" ma:fieldsID="c0044d0f9c4754748f48e0f644819269" ns3:_="" ns4:_="">
    <xsd:import namespace="5efce3ed-08e0-4c32-8d85-98b9cc048c0f"/>
    <xsd:import namespace="aa661604-bd61-453b-8bd8-7a25c2b72c2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e3ed-08e0-4c32-8d85-98b9cc048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61604-bd61-453b-8bd8-7a25c2b72c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064D8B-7304-4635-B03E-76B6253AC669}">
  <ds:schemaRefs>
    <ds:schemaRef ds:uri="http://schemas.microsoft.com/office/2006/metadata/properties"/>
    <ds:schemaRef ds:uri="http://schemas.microsoft.com/office/infopath/2007/PartnerControls"/>
    <ds:schemaRef ds:uri="5efce3ed-08e0-4c32-8d85-98b9cc048c0f"/>
  </ds:schemaRefs>
</ds:datastoreItem>
</file>

<file path=customXml/itemProps2.xml><?xml version="1.0" encoding="utf-8"?>
<ds:datastoreItem xmlns:ds="http://schemas.openxmlformats.org/officeDocument/2006/customXml" ds:itemID="{45C12079-B895-4A08-B956-CD1757F8D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ce3ed-08e0-4c32-8d85-98b9cc048c0f"/>
    <ds:schemaRef ds:uri="aa661604-bd61-453b-8bd8-7a25c2b72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D78C13-5987-47E5-B2FF-D67E0123C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14</vt:i4>
      </vt:variant>
    </vt:vector>
  </HeadingPairs>
  <TitlesOfParts>
    <vt:vector size="39" baseType="lpstr">
      <vt:lpstr>Updated  Operating Budget</vt:lpstr>
      <vt:lpstr>2023 Operating Budget</vt:lpstr>
      <vt:lpstr>Transportation Historic</vt:lpstr>
      <vt:lpstr>2024 Operating Budget</vt:lpstr>
      <vt:lpstr>Notes</vt:lpstr>
      <vt:lpstr>Sheet1</vt:lpstr>
      <vt:lpstr>Data</vt:lpstr>
      <vt:lpstr>Updated Operating Budget</vt:lpstr>
      <vt:lpstr>August'25 AR Aging</vt:lpstr>
      <vt:lpstr>August'25 Revenues &amp; Expenses</vt:lpstr>
      <vt:lpstr>December'24 AR Aging </vt:lpstr>
      <vt:lpstr>August'25 Financial Position</vt:lpstr>
      <vt:lpstr>August'25 State of Activities</vt:lpstr>
      <vt:lpstr>FundRaising</vt:lpstr>
      <vt:lpstr>August'25 Transportation</vt:lpstr>
      <vt:lpstr>Budget vs Actual 2024</vt:lpstr>
      <vt:lpstr>2025 Transportation Budget</vt:lpstr>
      <vt:lpstr>2023 Updated Budget Transportat</vt:lpstr>
      <vt:lpstr>Historic Transportation 5 Years</vt:lpstr>
      <vt:lpstr>June'20 Transportation</vt:lpstr>
      <vt:lpstr>Transportation Projections</vt:lpstr>
      <vt:lpstr>2019 Budget</vt:lpstr>
      <vt:lpstr>2017 Medicaid Revenue</vt:lpstr>
      <vt:lpstr>Budget</vt:lpstr>
      <vt:lpstr>YE Historic Data</vt:lpstr>
      <vt:lpstr>'2017 Medicaid Revenue'!Print_Area</vt:lpstr>
      <vt:lpstr>'2025 Transportation Budget'!Print_Area</vt:lpstr>
      <vt:lpstr>'August''25 Financial Position'!Print_Area</vt:lpstr>
      <vt:lpstr>'August''25 Revenues &amp; Expenses'!Print_Area</vt:lpstr>
      <vt:lpstr>'August''25 State of Activities'!Print_Area</vt:lpstr>
      <vt:lpstr>'August''25 Transportation'!Print_Area</vt:lpstr>
      <vt:lpstr>Budget!Print_Area</vt:lpstr>
      <vt:lpstr>'Budget vs Actual 2024'!Print_Area</vt:lpstr>
      <vt:lpstr>'December''24 AR Aging '!Print_Area</vt:lpstr>
      <vt:lpstr>'June''20 Transportation'!Print_Area</vt:lpstr>
      <vt:lpstr>Notes!Print_Area</vt:lpstr>
      <vt:lpstr>'Transportation Projections'!Print_Area</vt:lpstr>
      <vt:lpstr>'YE Historic Data'!Print_Area</vt:lpstr>
      <vt:lpstr>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jeanette</dc:creator>
  <cp:keywords/>
  <dc:description/>
  <cp:lastModifiedBy>Gregory Pettyjohn</cp:lastModifiedBy>
  <cp:revision/>
  <dcterms:created xsi:type="dcterms:W3CDTF">2011-11-03T17:20:29Z</dcterms:created>
  <dcterms:modified xsi:type="dcterms:W3CDTF">2025-10-02T19:29:33Z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0x01010024C195DD4D368D448916F642D1065C77</vt:lpwstr>
  </property>
</Properties>
</file>